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HIT!\Publikasi archive umsida\Data Mentah Pendukung Artikel Imiah\"/>
    </mc:Choice>
  </mc:AlternateContent>
  <xr:revisionPtr revIDLastSave="0" documentId="13_ncr:1_{23BD489F-3588-44DD-B0ED-9AB1D17B8B40}" xr6:coauthVersionLast="47" xr6:coauthVersionMax="47" xr10:uidLastSave="{00000000-0000-0000-0000-000000000000}"/>
  <bookViews>
    <workbookView xWindow="-120" yWindow="-120" windowWidth="20730" windowHeight="11040" activeTab="1" xr2:uid="{C3EE3582-C48F-4DC1-B721-40C1D3921073}"/>
  </bookViews>
  <sheets>
    <sheet name="tabulasi data" sheetId="1" r:id="rId1"/>
    <sheet name="Shee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3" l="1"/>
  <c r="E49" i="3"/>
  <c r="D49" i="3"/>
  <c r="C49" i="3"/>
  <c r="A49" i="3"/>
  <c r="G48" i="3"/>
  <c r="E48" i="3"/>
  <c r="D48" i="3"/>
  <c r="C48" i="3"/>
  <c r="A48" i="3"/>
  <c r="G47" i="3"/>
  <c r="E47" i="3"/>
  <c r="D47" i="3"/>
  <c r="C47" i="3"/>
  <c r="A47" i="3"/>
  <c r="G46" i="3"/>
  <c r="E46" i="3"/>
  <c r="D46" i="3"/>
  <c r="C46" i="3"/>
  <c r="A46" i="3"/>
  <c r="G45" i="3"/>
  <c r="E45" i="3"/>
  <c r="D45" i="3"/>
  <c r="C45" i="3"/>
  <c r="A45" i="3"/>
  <c r="G44" i="3"/>
  <c r="E44" i="3"/>
  <c r="D44" i="3"/>
  <c r="C44" i="3"/>
  <c r="A44" i="3"/>
  <c r="G43" i="3"/>
  <c r="E43" i="3"/>
  <c r="D43" i="3"/>
  <c r="C43" i="3"/>
  <c r="A43" i="3"/>
  <c r="G42" i="3"/>
  <c r="E42" i="3"/>
  <c r="D42" i="3"/>
  <c r="C42" i="3"/>
  <c r="A42" i="3"/>
  <c r="G41" i="3"/>
  <c r="E41" i="3"/>
  <c r="D41" i="3"/>
  <c r="C41" i="3"/>
  <c r="A41" i="3"/>
  <c r="G40" i="3"/>
  <c r="E40" i="3"/>
  <c r="D40" i="3"/>
  <c r="C40" i="3"/>
  <c r="A40" i="3"/>
  <c r="G39" i="3"/>
  <c r="E39" i="3"/>
  <c r="D39" i="3"/>
  <c r="C39" i="3"/>
  <c r="A39" i="3"/>
  <c r="G38" i="3"/>
  <c r="E38" i="3"/>
  <c r="D38" i="3"/>
  <c r="C38" i="3"/>
  <c r="A38" i="3"/>
  <c r="G37" i="3"/>
  <c r="E37" i="3"/>
  <c r="D37" i="3"/>
  <c r="C37" i="3"/>
  <c r="A37" i="3"/>
  <c r="G36" i="3"/>
  <c r="E36" i="3"/>
  <c r="D36" i="3"/>
  <c r="C36" i="3"/>
  <c r="A36" i="3"/>
  <c r="G35" i="3"/>
  <c r="E35" i="3"/>
  <c r="D35" i="3"/>
  <c r="C35" i="3"/>
  <c r="A35" i="3"/>
  <c r="G34" i="3"/>
  <c r="E34" i="3"/>
  <c r="D34" i="3"/>
  <c r="C34" i="3"/>
  <c r="A34" i="3"/>
  <c r="G33" i="3"/>
  <c r="E33" i="3"/>
  <c r="D33" i="3"/>
  <c r="C33" i="3"/>
  <c r="A33" i="3"/>
  <c r="G32" i="3"/>
  <c r="E32" i="3"/>
  <c r="D32" i="3"/>
  <c r="C32" i="3"/>
  <c r="A32" i="3"/>
  <c r="G31" i="3"/>
  <c r="E31" i="3"/>
  <c r="D31" i="3"/>
  <c r="C31" i="3"/>
  <c r="A31" i="3"/>
  <c r="G30" i="3"/>
  <c r="E30" i="3"/>
  <c r="D30" i="3"/>
  <c r="C30" i="3"/>
  <c r="A30" i="3"/>
  <c r="G29" i="3"/>
  <c r="E29" i="3"/>
  <c r="D29" i="3"/>
  <c r="C29" i="3"/>
  <c r="A29" i="3"/>
  <c r="G28" i="3"/>
  <c r="E28" i="3"/>
  <c r="D28" i="3"/>
  <c r="C28" i="3"/>
  <c r="A28" i="3"/>
  <c r="G27" i="3"/>
  <c r="E27" i="3"/>
  <c r="D27" i="3"/>
  <c r="C27" i="3"/>
  <c r="A27" i="3"/>
  <c r="G26" i="3"/>
  <c r="E26" i="3"/>
  <c r="D26" i="3"/>
  <c r="C26" i="3"/>
  <c r="A26" i="3"/>
  <c r="G25" i="3"/>
  <c r="E25" i="3"/>
  <c r="D25" i="3"/>
  <c r="C25" i="3"/>
  <c r="A25" i="3"/>
  <c r="G24" i="3"/>
  <c r="E24" i="3"/>
  <c r="D24" i="3"/>
  <c r="C24" i="3"/>
  <c r="A24" i="3"/>
  <c r="G23" i="3"/>
  <c r="E23" i="3"/>
  <c r="D23" i="3"/>
  <c r="C23" i="3"/>
  <c r="A23" i="3"/>
  <c r="G22" i="3"/>
  <c r="E22" i="3"/>
  <c r="D22" i="3"/>
  <c r="C22" i="3"/>
  <c r="A22" i="3"/>
  <c r="G21" i="3"/>
  <c r="E21" i="3"/>
  <c r="D21" i="3"/>
  <c r="C21" i="3"/>
  <c r="A21" i="3"/>
  <c r="G20" i="3"/>
  <c r="E20" i="3"/>
  <c r="D20" i="3"/>
  <c r="C20" i="3"/>
  <c r="A20" i="3"/>
  <c r="G19" i="3"/>
  <c r="E19" i="3"/>
  <c r="D19" i="3"/>
  <c r="C19" i="3"/>
  <c r="A19" i="3"/>
  <c r="G18" i="3"/>
  <c r="E18" i="3"/>
  <c r="D18" i="3"/>
  <c r="C18" i="3"/>
  <c r="A18" i="3"/>
  <c r="G17" i="3"/>
  <c r="E17" i="3"/>
  <c r="D17" i="3"/>
  <c r="C17" i="3"/>
  <c r="A17" i="3"/>
  <c r="G16" i="3"/>
  <c r="E16" i="3"/>
  <c r="D16" i="3"/>
  <c r="C16" i="3"/>
  <c r="A16" i="3"/>
  <c r="G15" i="3"/>
  <c r="E15" i="3"/>
  <c r="D15" i="3"/>
  <c r="C15" i="3"/>
  <c r="A15" i="3"/>
  <c r="G14" i="3"/>
  <c r="E14" i="3"/>
  <c r="D14" i="3"/>
  <c r="C14" i="3"/>
  <c r="A14" i="3"/>
  <c r="G13" i="3"/>
  <c r="E13" i="3"/>
  <c r="D13" i="3"/>
  <c r="C13" i="3"/>
  <c r="A13" i="3"/>
  <c r="G12" i="3"/>
  <c r="E12" i="3"/>
  <c r="D12" i="3"/>
  <c r="C12" i="3"/>
  <c r="A12" i="3"/>
  <c r="G11" i="3"/>
  <c r="E11" i="3"/>
  <c r="D11" i="3"/>
  <c r="C11" i="3"/>
  <c r="A11" i="3"/>
  <c r="G10" i="3"/>
  <c r="E10" i="3"/>
  <c r="D10" i="3"/>
  <c r="C10" i="3"/>
  <c r="A10" i="3"/>
  <c r="G9" i="3"/>
  <c r="E9" i="3"/>
  <c r="D9" i="3"/>
  <c r="C9" i="3"/>
  <c r="A9" i="3"/>
  <c r="G8" i="3"/>
  <c r="E8" i="3"/>
  <c r="D8" i="3"/>
  <c r="C8" i="3"/>
  <c r="A8" i="3"/>
  <c r="G7" i="3"/>
  <c r="E7" i="3"/>
  <c r="D7" i="3"/>
  <c r="C7" i="3"/>
  <c r="A7" i="3"/>
  <c r="G6" i="3"/>
  <c r="E6" i="3"/>
  <c r="D6" i="3"/>
  <c r="C6" i="3"/>
  <c r="A6" i="3"/>
  <c r="G5" i="3"/>
  <c r="E5" i="3"/>
  <c r="D5" i="3"/>
  <c r="C5" i="3"/>
  <c r="A5" i="3"/>
  <c r="G4" i="3"/>
  <c r="E4" i="3"/>
  <c r="D4" i="3"/>
  <c r="C4" i="3"/>
  <c r="A4" i="3"/>
  <c r="G3" i="3"/>
  <c r="E3" i="3"/>
  <c r="D3" i="3"/>
  <c r="C3" i="3"/>
  <c r="A3" i="3"/>
  <c r="G2" i="3"/>
  <c r="E2" i="3"/>
  <c r="D2" i="3"/>
  <c r="C2" i="3"/>
  <c r="A2" i="3"/>
  <c r="S49" i="1"/>
  <c r="Q49" i="1"/>
  <c r="P49" i="1"/>
  <c r="O49" i="1"/>
  <c r="M49" i="1"/>
  <c r="S48" i="1"/>
  <c r="Q48" i="1"/>
  <c r="P48" i="1"/>
  <c r="O48" i="1"/>
  <c r="M48" i="1"/>
  <c r="S47" i="1"/>
  <c r="Q47" i="1"/>
  <c r="P47" i="1"/>
  <c r="O47" i="1"/>
  <c r="M47" i="1"/>
  <c r="S46" i="1"/>
  <c r="Q46" i="1"/>
  <c r="P46" i="1"/>
  <c r="O46" i="1"/>
  <c r="M46" i="1"/>
  <c r="S45" i="1"/>
  <c r="Q45" i="1"/>
  <c r="P45" i="1"/>
  <c r="O45" i="1"/>
  <c r="M45" i="1"/>
  <c r="S44" i="1"/>
  <c r="Q44" i="1"/>
  <c r="P44" i="1"/>
  <c r="O44" i="1"/>
  <c r="M44" i="1"/>
  <c r="S43" i="1"/>
  <c r="Q43" i="1"/>
  <c r="P43" i="1"/>
  <c r="O43" i="1"/>
  <c r="M43" i="1"/>
  <c r="S42" i="1"/>
  <c r="Q42" i="1"/>
  <c r="P42" i="1"/>
  <c r="O42" i="1"/>
  <c r="M42" i="1"/>
  <c r="S41" i="1"/>
  <c r="Q41" i="1"/>
  <c r="P41" i="1"/>
  <c r="O41" i="1"/>
  <c r="M41" i="1"/>
  <c r="S40" i="1"/>
  <c r="Q40" i="1"/>
  <c r="P40" i="1"/>
  <c r="O40" i="1"/>
  <c r="M40" i="1"/>
  <c r="S39" i="1"/>
  <c r="Q39" i="1"/>
  <c r="P39" i="1"/>
  <c r="O39" i="1"/>
  <c r="M39" i="1"/>
  <c r="S38" i="1"/>
  <c r="Q38" i="1"/>
  <c r="P38" i="1"/>
  <c r="O38" i="1"/>
  <c r="M38" i="1"/>
  <c r="S37" i="1"/>
  <c r="Q37" i="1"/>
  <c r="P37" i="1"/>
  <c r="O37" i="1"/>
  <c r="M37" i="1"/>
  <c r="S36" i="1"/>
  <c r="Q36" i="1"/>
  <c r="P36" i="1"/>
  <c r="O36" i="1"/>
  <c r="M36" i="1"/>
  <c r="S35" i="1"/>
  <c r="Q35" i="1"/>
  <c r="P35" i="1"/>
  <c r="O35" i="1"/>
  <c r="M35" i="1"/>
  <c r="S34" i="1"/>
  <c r="Q34" i="1"/>
  <c r="P34" i="1"/>
  <c r="O34" i="1"/>
  <c r="M34" i="1"/>
  <c r="S33" i="1"/>
  <c r="Q33" i="1"/>
  <c r="P33" i="1"/>
  <c r="O33" i="1"/>
  <c r="M33" i="1"/>
  <c r="S32" i="1"/>
  <c r="Q32" i="1"/>
  <c r="P32" i="1"/>
  <c r="O32" i="1"/>
  <c r="M32" i="1"/>
  <c r="S31" i="1"/>
  <c r="Q31" i="1"/>
  <c r="P31" i="1"/>
  <c r="O31" i="1"/>
  <c r="M31" i="1"/>
  <c r="S30" i="1"/>
  <c r="Q30" i="1"/>
  <c r="P30" i="1"/>
  <c r="O30" i="1"/>
  <c r="M30" i="1"/>
  <c r="S29" i="1"/>
  <c r="Q29" i="1"/>
  <c r="P29" i="1"/>
  <c r="O29" i="1"/>
  <c r="M29" i="1"/>
  <c r="S28" i="1"/>
  <c r="Q28" i="1"/>
  <c r="P28" i="1"/>
  <c r="O28" i="1"/>
  <c r="M28" i="1"/>
  <c r="S27" i="1"/>
  <c r="Q27" i="1"/>
  <c r="P27" i="1"/>
  <c r="O27" i="1"/>
  <c r="M27" i="1"/>
  <c r="S26" i="1"/>
  <c r="Q26" i="1"/>
  <c r="P26" i="1"/>
  <c r="O26" i="1"/>
  <c r="M26" i="1"/>
  <c r="S25" i="1"/>
  <c r="Q25" i="1"/>
  <c r="P25" i="1"/>
  <c r="O25" i="1"/>
  <c r="M25" i="1"/>
  <c r="S24" i="1"/>
  <c r="Q24" i="1"/>
  <c r="P24" i="1"/>
  <c r="O24" i="1"/>
  <c r="M24" i="1"/>
  <c r="S23" i="1"/>
  <c r="Q23" i="1"/>
  <c r="P23" i="1"/>
  <c r="O23" i="1"/>
  <c r="M23" i="1"/>
  <c r="S22" i="1"/>
  <c r="Q22" i="1"/>
  <c r="P22" i="1"/>
  <c r="O22" i="1"/>
  <c r="M22" i="1"/>
  <c r="S21" i="1"/>
  <c r="Q21" i="1"/>
  <c r="P21" i="1"/>
  <c r="O21" i="1"/>
  <c r="M21" i="1"/>
  <c r="S20" i="1"/>
  <c r="Q20" i="1"/>
  <c r="P20" i="1"/>
  <c r="O20" i="1"/>
  <c r="M20" i="1"/>
  <c r="S19" i="1"/>
  <c r="Q19" i="1"/>
  <c r="P19" i="1"/>
  <c r="O19" i="1"/>
  <c r="M19" i="1"/>
  <c r="S18" i="1"/>
  <c r="Q18" i="1"/>
  <c r="P18" i="1"/>
  <c r="O18" i="1"/>
  <c r="M18" i="1"/>
  <c r="S17" i="1"/>
  <c r="Q17" i="1"/>
  <c r="P17" i="1"/>
  <c r="O17" i="1"/>
  <c r="M17" i="1"/>
  <c r="S16" i="1"/>
  <c r="Q16" i="1"/>
  <c r="P16" i="1"/>
  <c r="O16" i="1"/>
  <c r="M16" i="1"/>
  <c r="S15" i="1"/>
  <c r="Q15" i="1"/>
  <c r="P15" i="1"/>
  <c r="O15" i="1"/>
  <c r="M15" i="1"/>
  <c r="S14" i="1"/>
  <c r="Q14" i="1"/>
  <c r="P14" i="1"/>
  <c r="O14" i="1"/>
  <c r="M14" i="1"/>
  <c r="S13" i="1"/>
  <c r="Q13" i="1"/>
  <c r="P13" i="1"/>
  <c r="O13" i="1"/>
  <c r="M13" i="1"/>
  <c r="S12" i="1"/>
  <c r="Q12" i="1"/>
  <c r="P12" i="1"/>
  <c r="O12" i="1"/>
  <c r="M12" i="1"/>
  <c r="S11" i="1"/>
  <c r="Q11" i="1"/>
  <c r="P11" i="1"/>
  <c r="O11" i="1"/>
  <c r="M11" i="1"/>
  <c r="S10" i="1"/>
  <c r="Q10" i="1"/>
  <c r="P10" i="1"/>
  <c r="O10" i="1"/>
  <c r="M10" i="1"/>
  <c r="S9" i="1"/>
  <c r="Q9" i="1"/>
  <c r="P9" i="1"/>
  <c r="O9" i="1"/>
  <c r="M9" i="1"/>
  <c r="S8" i="1"/>
  <c r="Q8" i="1"/>
  <c r="P8" i="1"/>
  <c r="O8" i="1"/>
  <c r="M8" i="1"/>
  <c r="S7" i="1"/>
  <c r="Q7" i="1"/>
  <c r="P7" i="1"/>
  <c r="O7" i="1"/>
  <c r="M7" i="1"/>
  <c r="S6" i="1"/>
  <c r="Q6" i="1"/>
  <c r="P6" i="1"/>
  <c r="O6" i="1"/>
  <c r="M6" i="1"/>
  <c r="S5" i="1"/>
  <c r="Q5" i="1"/>
  <c r="P5" i="1"/>
  <c r="O5" i="1"/>
  <c r="M5" i="1"/>
  <c r="S4" i="1"/>
  <c r="Q4" i="1"/>
  <c r="P4" i="1"/>
  <c r="O4" i="1"/>
  <c r="M4" i="1"/>
  <c r="S3" i="1"/>
  <c r="Q3" i="1"/>
  <c r="P3" i="1"/>
  <c r="O3" i="1"/>
  <c r="M3" i="1"/>
  <c r="S2" i="1"/>
  <c r="Q2" i="1"/>
  <c r="P2" i="1"/>
  <c r="O2" i="1"/>
  <c r="M2" i="1"/>
</calcChain>
</file>

<file path=xl/sharedStrings.xml><?xml version="1.0" encoding="utf-8"?>
<sst xmlns="http://schemas.openxmlformats.org/spreadsheetml/2006/main" count="46" uniqueCount="31">
  <si>
    <t>Negara</t>
  </si>
  <si>
    <t>Tahun</t>
  </si>
  <si>
    <t>FDI</t>
  </si>
  <si>
    <t>Inflasi</t>
  </si>
  <si>
    <t>Pendapatan Perkapita</t>
  </si>
  <si>
    <t>Ekspor</t>
  </si>
  <si>
    <t>Impor</t>
  </si>
  <si>
    <t>Penerimaan Pajak</t>
  </si>
  <si>
    <t>Pertumbuhan Ekonomi</t>
  </si>
  <si>
    <t>Indonesia</t>
  </si>
  <si>
    <t>Malaysia</t>
  </si>
  <si>
    <t>Thailand</t>
  </si>
  <si>
    <t>Filipina</t>
  </si>
  <si>
    <t>Singapura</t>
  </si>
  <si>
    <t>Timor Leste</t>
  </si>
  <si>
    <t>X1</t>
  </si>
  <si>
    <t>X2</t>
  </si>
  <si>
    <t>X3</t>
  </si>
  <si>
    <t>X4</t>
  </si>
  <si>
    <t>X5</t>
  </si>
  <si>
    <t>Y</t>
  </si>
  <si>
    <t>Z</t>
  </si>
  <si>
    <t>KURS</t>
  </si>
  <si>
    <t>13,795.00</t>
  </si>
  <si>
    <t>13,436.00</t>
  </si>
  <si>
    <t>13,548.00</t>
  </si>
  <si>
    <t>14,481.00</t>
  </si>
  <si>
    <t>13,901.00</t>
  </si>
  <si>
    <t>14,105.00</t>
  </si>
  <si>
    <t>14,269.00</t>
  </si>
  <si>
    <t>15,731.00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</si>
</sst>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Rp&quot;* #,##0.00_-;\-&quot;Rp&quot;* #,##0.00_-;_-&quot;Rp&quot;* &quot;-&quot;??_-;_-@_-"/>
    <numFmt numFmtId="164" formatCode="_-[$Rp-3809]* #,##0.00_-;\-[$Rp-3809]* #,##0.00_-;_-[$Rp-3809]* &quot;-&quot;??_-;_-@_-"/>
    <numFmt numFmtId="165" formatCode="_-[$$-409]* #,##0.00_ ;_-[$$-409]* \-#,##0.00\ ;_-[$$-409]* &quot;-&quot;??_ ;_-@_ 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1" xfId="0" applyFont="1" applyBorder="1"/>
    <xf numFmtId="44" fontId="2" fillId="0" borderId="2" xfId="0" applyNumberFormat="1" applyFont="1" applyBorder="1"/>
    <xf numFmtId="0" fontId="2" fillId="0" borderId="2" xfId="0" applyFont="1" applyBorder="1"/>
    <xf numFmtId="164" fontId="2" fillId="0" borderId="2" xfId="2" applyNumberFormat="1" applyFont="1" applyFill="1" applyBorder="1"/>
    <xf numFmtId="164" fontId="2" fillId="0" borderId="2" xfId="0" applyNumberFormat="1" applyFont="1" applyBorder="1"/>
    <xf numFmtId="44" fontId="3" fillId="0" borderId="2" xfId="0" applyNumberFormat="1" applyFont="1" applyBorder="1"/>
    <xf numFmtId="165" fontId="2" fillId="0" borderId="2" xfId="0" applyNumberFormat="1" applyFont="1" applyBorder="1"/>
    <xf numFmtId="165" fontId="3" fillId="0" borderId="2" xfId="0" applyNumberFormat="1" applyFont="1" applyBorder="1"/>
    <xf numFmtId="165" fontId="2" fillId="0" borderId="2" xfId="2" applyNumberFormat="1" applyFont="1" applyBorder="1"/>
    <xf numFmtId="165" fontId="2" fillId="0" borderId="0" xfId="0" applyNumberFormat="1" applyFont="1"/>
    <xf numFmtId="166" fontId="2" fillId="0" borderId="3" xfId="1" applyNumberFormat="1" applyFont="1" applyFill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2" fontId="2" fillId="0" borderId="2" xfId="0" applyNumberFormat="1" applyFont="1" applyBorder="1"/>
    <xf numFmtId="2" fontId="2" fillId="0" borderId="2" xfId="2" applyNumberFormat="1" applyFont="1" applyFill="1" applyBorder="1"/>
    <xf numFmtId="2" fontId="2" fillId="0" borderId="11" xfId="0" applyNumberFormat="1" applyFont="1" applyBorder="1"/>
    <xf numFmtId="2" fontId="2" fillId="0" borderId="2" xfId="1" applyNumberFormat="1" applyFont="1" applyFill="1" applyBorder="1" applyAlignment="1">
      <alignment horizontal="right"/>
    </xf>
    <xf numFmtId="2" fontId="2" fillId="0" borderId="1" xfId="0" applyNumberFormat="1" applyFont="1" applyBorder="1"/>
    <xf numFmtId="2" fontId="3" fillId="0" borderId="11" xfId="0" applyNumberFormat="1" applyFont="1" applyBorder="1"/>
    <xf numFmtId="2" fontId="3" fillId="0" borderId="6" xfId="0" applyNumberFormat="1" applyFont="1" applyBorder="1"/>
    <xf numFmtId="2" fontId="2" fillId="0" borderId="14" xfId="0" applyNumberFormat="1" applyFont="1" applyBorder="1"/>
    <xf numFmtId="2" fontId="2" fillId="0" borderId="14" xfId="1" applyNumberFormat="1" applyFont="1" applyFill="1" applyBorder="1" applyAlignment="1">
      <alignment horizontal="right"/>
    </xf>
    <xf numFmtId="2" fontId="2" fillId="0" borderId="5" xfId="0" applyNumberFormat="1" applyFont="1" applyBorder="1"/>
    <xf numFmtId="0" fontId="2" fillId="0" borderId="12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" xfId="1" applyNumberFormat="1" applyFont="1" applyFill="1" applyBorder="1" applyAlignment="1">
      <alignment horizontal="right"/>
    </xf>
    <xf numFmtId="165" fontId="2" fillId="0" borderId="2" xfId="2" applyNumberFormat="1" applyFont="1" applyFill="1" applyBorder="1"/>
    <xf numFmtId="0" fontId="2" fillId="0" borderId="4" xfId="0" applyFont="1" applyBorder="1"/>
    <xf numFmtId="165" fontId="2" fillId="0" borderId="15" xfId="2" applyNumberFormat="1" applyFont="1" applyBorder="1"/>
    <xf numFmtId="165" fontId="2" fillId="0" borderId="16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</cellXfs>
  <cellStyles count="3">
    <cellStyle name="Comma [0]" xfId="1" builtinId="6"/>
    <cellStyle name="Currency" xfId="2" builtinId="4"/>
    <cellStyle name="Normal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2" formatCode="0.0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2" formatCode="0.0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2" formatCode="0.00"/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2" formatCode="0.0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4" formatCode="_-[$Rp-3809]* #,##0.00_-;\-[$Rp-3809]* #,##0.00_-;_-[$Rp-3809]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6" formatCode="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4" formatCode="_-[$Rp-3809]* #,##0.00_-;\-[$Rp-3809]* #,##0.00_-;_-[$Rp-3809]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4" formatCode="_-[$Rp-3809]* #,##0.00_-;\-[$Rp-3809]* #,##0.00_-;_-[$Rp-3809]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4" formatCode="_-[$Rp-3809]* #,##0.00_-;\-[$Rp-3809]* #,##0.00_-;_-[$Rp-3809]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4" formatCode="_-&quot;Rp&quot;* #,##0.00_-;\-&quot;Rp&quot;* #,##0.00_-;_-&quot;Rp&quot;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5" formatCode="_-[$$-409]* #,##0.00_ ;_-[$$-409]* \-#,##0.00\ ;_-[$$-409]* &quot;-&quot;??_ ;_-@_ "/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5" formatCode="_-[$$-409]* #,##0.00_ ;_-[$$-409]* \-#,##0.00\ ;_-[$$-409]* &quot;-&quot;??_ ;_-@_ "/>
      <border diagonalUp="0" diagonalDown="0" outline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5" formatCode="_-[$$-409]* #,##0.00_ ;_-[$$-409]* \-#,##0.00\ ;_-[$$-409]* &quot;-&quot;??_ ;_-@_ 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5" formatCode="_-[$$-409]* #,##0.00_ ;_-[$$-409]* \-#,##0.00\ ;_-[$$-409]* &quot;-&quot;??_ ;_-@_ 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5" formatCode="_-[$$-409]* #,##0.00_ ;_-[$$-409]* \-#,##0.00\ ;_-[$$-409]* &quot;-&quot;??_ ;_-@_ 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C2CE43-9816-459D-8E1C-AACA021F2E22}" name="Table32611" displayName="Table32611" ref="A1:I61" totalsRowShown="0" headerRowDxfId="33" dataDxfId="32">
  <autoFilter ref="A1:I61" xr:uid="{0FC2CE43-9816-459D-8E1C-AACA021F2E22}"/>
  <tableColumns count="9">
    <tableColumn id="1" xr3:uid="{3DB4E8FA-71F2-403E-A47D-C10F15C5B34B}" name="Negara" dataDxfId="31"/>
    <tableColumn id="2" xr3:uid="{1186D855-3E3E-4E18-92F8-1B8C4C76CF50}" name="Tahun" dataDxfId="30"/>
    <tableColumn id="3" xr3:uid="{2F0B99EA-25E0-4FC2-8631-D5F5846667F1}" name="FDI" dataDxfId="29"/>
    <tableColumn id="4" xr3:uid="{8526FE41-B615-4C15-8CE7-759CAB18628F}" name="Inflasi" dataDxfId="28"/>
    <tableColumn id="5" xr3:uid="{3AD417F8-9D58-4462-9AD9-017C79CA4FA9}" name="Pendapatan Perkapita" dataDxfId="27"/>
    <tableColumn id="6" xr3:uid="{951221E0-2F11-4A8B-82FA-AFE5A4934A58}" name="Ekspor" dataDxfId="26"/>
    <tableColumn id="7" xr3:uid="{6A594D46-370D-4CF6-BCBB-7E6F53657A8D}" name="Impor" dataDxfId="25" dataCellStyle="Currency"/>
    <tableColumn id="8" xr3:uid="{A665E31E-DE44-4205-84C0-EBC5D706C967}" name="Penerimaan Pajak" dataDxfId="24" dataCellStyle="Comma [0]"/>
    <tableColumn id="9" xr3:uid="{C62B4464-7F03-43E0-A698-CE9072CC6416}" name="Pertumbuhan Ekonomi" dataDxfId="23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6519F9-A86E-4F94-A2C9-B793C09E0847}" name="Table326113" displayName="Table326113" ref="K1:S61" totalsRowShown="0" headerRowDxfId="22" dataDxfId="21">
  <autoFilter ref="K1:S61" xr:uid="{5F6519F9-A86E-4F94-A2C9-B793C09E0847}"/>
  <tableColumns count="9">
    <tableColumn id="1" xr3:uid="{C8E0DDD6-69C1-4D0F-AC79-CD9594F90188}" name="Negara" dataDxfId="20"/>
    <tableColumn id="2" xr3:uid="{D1F55E6B-DB9B-4464-A946-66341930A45F}" name="Tahun" dataDxfId="19"/>
    <tableColumn id="3" xr3:uid="{D55402A7-0E2C-4F98-B68B-04BB2E9D2F0C}" name="FDI" dataDxfId="18"/>
    <tableColumn id="4" xr3:uid="{CC7E9406-2FD5-40E4-BB93-667B6BB03A02}" name="Inflasi" dataDxfId="17"/>
    <tableColumn id="5" xr3:uid="{859AA1D7-64FC-41B9-BFE9-B6F38CE365C3}" name="Pendapatan Perkapita" dataDxfId="16"/>
    <tableColumn id="6" xr3:uid="{010CF25E-5407-4779-8EC9-132F0F04FFF3}" name="Ekspor" dataDxfId="15"/>
    <tableColumn id="7" xr3:uid="{E6E1AA5E-43E6-4546-972E-3E49BE3680D2}" name="Impor" dataDxfId="14"/>
    <tableColumn id="8" xr3:uid="{EEDA29CB-79B4-4750-8562-45FDB10CFA6E}" name="Penerimaan Pajak" dataDxfId="13" dataCellStyle="Comma [0]"/>
    <tableColumn id="9" xr3:uid="{4C1361C8-3898-41AF-80A1-E2A7E40B2D7C}" name="Pertumbuhan Ekonomi" dataDxfId="12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37F67A5-8B86-4814-ACD0-94BE396E4814}" name="Table3261134" displayName="Table3261134" ref="A1:G49" totalsRowShown="0" headerRowDxfId="11" dataDxfId="9" headerRowBorderDxfId="10" tableBorderDxfId="8" totalsRowBorderDxfId="7">
  <autoFilter ref="A1:G49" xr:uid="{637F67A5-8B86-4814-ACD0-94BE396E481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3" xr3:uid="{21CA94A2-BEE1-4C20-8E43-9C0CEDD1B4FF}" name="X1" dataDxfId="6"/>
    <tableColumn id="4" xr3:uid="{3026F69B-2C78-457D-BCF0-5831A02B994B}" name="X2" dataDxfId="5"/>
    <tableColumn id="5" xr3:uid="{68C00DBA-7F18-4D78-9228-D87148A47853}" name="X3" dataDxfId="4"/>
    <tableColumn id="6" xr3:uid="{094627A0-148A-4DBB-88A8-47812749AD07}" name="X4" dataDxfId="3"/>
    <tableColumn id="7" xr3:uid="{9DE1AFFE-8A73-4235-904E-409B406670D5}" name="X5" dataDxfId="2"/>
    <tableColumn id="8" xr3:uid="{7D7C3630-61B3-4333-AF14-464D94D5577B}" name="Y" dataDxfId="1" dataCellStyle="Comma [0]"/>
    <tableColumn id="9" xr3:uid="{A94D78E4-E0C7-4B5D-A927-E2BF4EE5D1E3}" name="Z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22011-8DBF-4E25-BCE0-F3BBA01A1E51}">
  <dimension ref="A1:S70"/>
  <sheetViews>
    <sheetView workbookViewId="0">
      <pane xSplit="2" ySplit="1" topLeftCell="N14" activePane="bottomRight" state="frozen"/>
      <selection pane="topRight" activeCell="C1" sqref="C1"/>
      <selection pane="bottomLeft" activeCell="A2" sqref="A2"/>
      <selection pane="bottomRight" activeCell="T21" sqref="T21"/>
    </sheetView>
  </sheetViews>
  <sheetFormatPr defaultRowHeight="15" x14ac:dyDescent="0.25"/>
  <cols>
    <col min="3" max="3" width="21.42578125" bestFit="1" customWidth="1"/>
    <col min="5" max="5" width="12.85546875" bestFit="1" customWidth="1"/>
    <col min="6" max="6" width="27.7109375" bestFit="1" customWidth="1"/>
    <col min="7" max="7" width="21.42578125" bestFit="1" customWidth="1"/>
    <col min="9" max="9" width="23" bestFit="1" customWidth="1"/>
    <col min="13" max="13" width="25.5703125" customWidth="1"/>
    <col min="14" max="14" width="27.28515625" customWidth="1"/>
    <col min="15" max="15" width="20.5703125" customWidth="1"/>
    <col min="16" max="16" width="25.85546875" customWidth="1"/>
    <col min="17" max="17" width="34.140625" customWidth="1"/>
    <col min="18" max="18" width="19.28515625" customWidth="1"/>
    <col min="19" max="19" width="28" customWidth="1"/>
    <col min="20" max="20" width="25.42578125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K1" s="1" t="s">
        <v>0</v>
      </c>
      <c r="L1" s="1" t="s">
        <v>1</v>
      </c>
      <c r="M1" s="1" t="s">
        <v>2</v>
      </c>
      <c r="N1" s="1" t="s">
        <v>3</v>
      </c>
      <c r="O1" s="2" t="s">
        <v>4</v>
      </c>
      <c r="P1" s="2" t="s">
        <v>5</v>
      </c>
      <c r="Q1" s="2" t="s">
        <v>6</v>
      </c>
      <c r="R1" s="1" t="s">
        <v>7</v>
      </c>
      <c r="S1" s="1" t="s">
        <v>8</v>
      </c>
    </row>
    <row r="2" spans="1:19" x14ac:dyDescent="0.25">
      <c r="A2" s="3" t="s">
        <v>9</v>
      </c>
      <c r="B2" s="1">
        <v>2015</v>
      </c>
      <c r="C2" s="9">
        <v>8927579182.1620998</v>
      </c>
      <c r="D2" s="5">
        <v>3.9802426601396093</v>
      </c>
      <c r="E2" s="33">
        <v>3288.2226973757201</v>
      </c>
      <c r="F2" s="9">
        <v>182158298808.69501</v>
      </c>
      <c r="G2" s="11">
        <v>178863652312.439</v>
      </c>
      <c r="H2" s="32">
        <v>13.357518499999999</v>
      </c>
      <c r="I2" s="12">
        <v>860854232717.71802</v>
      </c>
      <c r="K2" s="3" t="s">
        <v>9</v>
      </c>
      <c r="L2" s="1">
        <v>2015</v>
      </c>
      <c r="M2" s="4">
        <f>8927579182.16217*13795</f>
        <v>123155954817927.14</v>
      </c>
      <c r="N2" s="5">
        <v>3.9802426601396093</v>
      </c>
      <c r="O2" s="6">
        <f>3288.22269737572*13795</f>
        <v>45361032.11029806</v>
      </c>
      <c r="P2" s="7">
        <f>182158298808.695*13795</f>
        <v>2512873732065947.5</v>
      </c>
      <c r="Q2" s="7">
        <f>178863652312.439*13795</f>
        <v>2467424083650096</v>
      </c>
      <c r="R2" s="13">
        <v>13.357518499999999</v>
      </c>
      <c r="S2" s="2">
        <f>860854232717.718*13795</f>
        <v>1.187548414034092E+16</v>
      </c>
    </row>
    <row r="3" spans="1:19" x14ac:dyDescent="0.25">
      <c r="A3" s="1"/>
      <c r="B3" s="1">
        <v>2016</v>
      </c>
      <c r="C3" s="9">
        <v>3486184390.3006902</v>
      </c>
      <c r="D3" s="5">
        <v>2.4389240868820679</v>
      </c>
      <c r="E3" s="33">
        <v>3521.4694345625098</v>
      </c>
      <c r="F3" s="9">
        <v>177886012744.19699</v>
      </c>
      <c r="G3" s="11">
        <v>170835000829.60001</v>
      </c>
      <c r="H3" s="32">
        <v>13.933472</v>
      </c>
      <c r="I3" s="12">
        <v>931877364034.19604</v>
      </c>
      <c r="K3" s="1"/>
      <c r="L3" s="1">
        <v>2016</v>
      </c>
      <c r="M3" s="4">
        <f>3486184390.30069*13436</f>
        <v>46840373468080.07</v>
      </c>
      <c r="N3" s="5">
        <v>2.4389240868820679</v>
      </c>
      <c r="O3" s="6">
        <f>3521.46943456251*13436</f>
        <v>47314463.322781883</v>
      </c>
      <c r="P3" s="7">
        <f>177886012744.197*13436</f>
        <v>2390076467231031</v>
      </c>
      <c r="Q3" s="7">
        <f>170835000829.6*13436</f>
        <v>2295339071146505.5</v>
      </c>
      <c r="R3" s="13">
        <v>13.933472</v>
      </c>
      <c r="S3" s="2">
        <f>931877364034.196*13436</f>
        <v>1.2520704263163458E+16</v>
      </c>
    </row>
    <row r="4" spans="1:19" x14ac:dyDescent="0.25">
      <c r="A4" s="1"/>
      <c r="B4" s="1">
        <v>2017</v>
      </c>
      <c r="C4" s="10">
        <v>20510310832.446899</v>
      </c>
      <c r="D4" s="5">
        <v>4.2926781219952517</v>
      </c>
      <c r="E4" s="9">
        <v>3798.8832617764901</v>
      </c>
      <c r="F4" s="9">
        <v>204924485910.841</v>
      </c>
      <c r="G4" s="11">
        <v>194777319197.27701</v>
      </c>
      <c r="H4" s="32">
        <v>12.653576599999999</v>
      </c>
      <c r="I4" s="12">
        <v>1015618744168.08</v>
      </c>
      <c r="K4" s="1"/>
      <c r="L4" s="1">
        <v>2017</v>
      </c>
      <c r="M4" s="8">
        <f>20510310832.4469*13548</f>
        <v>277873691157990.59</v>
      </c>
      <c r="N4" s="5">
        <v>4.2926781219952517</v>
      </c>
      <c r="O4" s="7">
        <f xml:space="preserve"> 3798.88326177649 * 13548</f>
        <v>51467270.430547886</v>
      </c>
      <c r="P4" s="7">
        <f xml:space="preserve"> 204924485910.841 * 13548</f>
        <v>2776316935120074</v>
      </c>
      <c r="Q4" s="7">
        <f xml:space="preserve"> 194777319197.277 * 13548</f>
        <v>2638843120484709</v>
      </c>
      <c r="R4" s="13">
        <v>12.653576599999999</v>
      </c>
      <c r="S4" s="2">
        <f>1015618744168.08*13548</f>
        <v>1.3759602745989148E+16</v>
      </c>
    </row>
    <row r="5" spans="1:19" x14ac:dyDescent="0.25">
      <c r="A5" s="1"/>
      <c r="B5" s="1">
        <v>2018</v>
      </c>
      <c r="C5" s="10">
        <v>18909826043.510502</v>
      </c>
      <c r="D5" s="5">
        <v>3.8183235694333462</v>
      </c>
      <c r="E5" s="9">
        <v>3860.9535307770798</v>
      </c>
      <c r="F5" s="9">
        <v>218905647879.17599</v>
      </c>
      <c r="G5" s="11">
        <v>230045612377.31201</v>
      </c>
      <c r="H5" s="32">
        <v>11.059503100000001</v>
      </c>
      <c r="I5" s="12">
        <v>1042271532953.49</v>
      </c>
      <c r="K5" s="1"/>
      <c r="L5" s="1">
        <v>2018</v>
      </c>
      <c r="M5" s="8">
        <f>18909826043.5105*14481</f>
        <v>273833190936075.56</v>
      </c>
      <c r="N5" s="5">
        <v>3.8183235694333462</v>
      </c>
      <c r="O5" s="7">
        <f xml:space="preserve"> 3860.95353077708 * 14481</f>
        <v>55910468.079182893</v>
      </c>
      <c r="P5" s="7">
        <f xml:space="preserve"> 218905647879.176*14481</f>
        <v>3169972686938347.5</v>
      </c>
      <c r="Q5" s="7">
        <f xml:space="preserve"> 230045612377.312*14481</f>
        <v>3331290512835855</v>
      </c>
      <c r="R5" s="13">
        <v>11.059503100000001</v>
      </c>
      <c r="S5" s="2">
        <f>1042271532953.49*14481</f>
        <v>1.5093134068699488E+16</v>
      </c>
    </row>
    <row r="6" spans="1:19" x14ac:dyDescent="0.25">
      <c r="A6" s="1"/>
      <c r="B6" s="1">
        <v>2019</v>
      </c>
      <c r="C6" s="10">
        <v>24993551748.0098</v>
      </c>
      <c r="D6" s="5">
        <v>1.5984884998414373</v>
      </c>
      <c r="E6" s="9">
        <v>4106.9485617342098</v>
      </c>
      <c r="F6" s="9">
        <v>208057763665.86899</v>
      </c>
      <c r="G6" s="11">
        <v>213034646341.603</v>
      </c>
      <c r="H6" s="32">
        <v>11.575537300000001</v>
      </c>
      <c r="I6" s="12">
        <v>1119099871385.79</v>
      </c>
      <c r="K6" s="1"/>
      <c r="L6" s="1">
        <v>2019</v>
      </c>
      <c r="M6" s="8">
        <f>24993551748.0098*13901</f>
        <v>347435362849084.25</v>
      </c>
      <c r="N6" s="5">
        <v>1.5984884998414373</v>
      </c>
      <c r="O6" s="7">
        <f xml:space="preserve"> 4106.94856173421*13901</f>
        <v>57090691.956667252</v>
      </c>
      <c r="P6" s="7">
        <f xml:space="preserve"> 208057763665.869*13901</f>
        <v>2892210972719245</v>
      </c>
      <c r="Q6" s="7">
        <f xml:space="preserve"> 213034646341.603*13901</f>
        <v>2961394618794623.5</v>
      </c>
      <c r="R6" s="13">
        <v>11.575537300000001</v>
      </c>
      <c r="S6" s="2">
        <f>1119099871385.79*13901</f>
        <v>1.5556607312133868E+16</v>
      </c>
    </row>
    <row r="7" spans="1:19" x14ac:dyDescent="0.25">
      <c r="A7" s="1"/>
      <c r="B7" s="1">
        <v>2020</v>
      </c>
      <c r="C7" s="10">
        <v>19175077747.807701</v>
      </c>
      <c r="D7" s="5">
        <v>-0.40165143521899438</v>
      </c>
      <c r="E7" s="9">
        <v>3853.7028877890298</v>
      </c>
      <c r="F7" s="9">
        <v>183546577019.64099</v>
      </c>
      <c r="G7" s="11">
        <v>165646843303.978</v>
      </c>
      <c r="H7" s="32">
        <v>13.282976400000001</v>
      </c>
      <c r="I7" s="12">
        <v>1059054842711.55</v>
      </c>
      <c r="K7" s="1"/>
      <c r="L7" s="1">
        <v>2020</v>
      </c>
      <c r="M7" s="8">
        <f>19175077747.8077*14105</f>
        <v>270464471632827.63</v>
      </c>
      <c r="N7" s="5">
        <v>-0.40165143521899438</v>
      </c>
      <c r="O7" s="7">
        <f xml:space="preserve"> 3853.70288778903*14105</f>
        <v>54356479.232264265</v>
      </c>
      <c r="P7" s="7">
        <f xml:space="preserve"> 183546577019.641*14105</f>
        <v>2588924468862036</v>
      </c>
      <c r="Q7" s="7">
        <f xml:space="preserve"> 165646843303.978 * 14105</f>
        <v>2336448724802609.5</v>
      </c>
      <c r="R7" s="13">
        <v>13.282976400000001</v>
      </c>
      <c r="S7" s="2">
        <f>1059054842711.55*14105</f>
        <v>1.4937968556446414E+16</v>
      </c>
    </row>
    <row r="8" spans="1:19" x14ac:dyDescent="0.25">
      <c r="A8" s="1"/>
      <c r="B8" s="1">
        <v>2021</v>
      </c>
      <c r="C8" s="10">
        <v>21213080329.858299</v>
      </c>
      <c r="D8" s="5">
        <v>6.0039732213620738</v>
      </c>
      <c r="E8" s="9">
        <v>4287.1731398940501</v>
      </c>
      <c r="F8" s="9">
        <v>254109508151.117</v>
      </c>
      <c r="G8" s="11">
        <v>222923845053.02701</v>
      </c>
      <c r="H8" s="32">
        <v>11.8788401</v>
      </c>
      <c r="I8" s="12">
        <v>1186509691070.97</v>
      </c>
      <c r="K8" s="1"/>
      <c r="L8" s="1">
        <v>2021</v>
      </c>
      <c r="M8" s="8">
        <f>21213080329.8583*14269</f>
        <v>302689443226748.06</v>
      </c>
      <c r="N8" s="5">
        <v>6.0039732213620738</v>
      </c>
      <c r="O8" s="7">
        <f xml:space="preserve"> 4287.17313989405 * 14269</f>
        <v>61173673.533148199</v>
      </c>
      <c r="P8" s="7">
        <f xml:space="preserve"> 254109508151.117*14269</f>
        <v>3625888571808288.5</v>
      </c>
      <c r="Q8" s="7">
        <f xml:space="preserve"> 222923845053.027*14269</f>
        <v>3180900345061642.5</v>
      </c>
      <c r="R8" s="13">
        <v>11.8788401</v>
      </c>
      <c r="S8" s="2">
        <f>1186509691070.97*14269</f>
        <v>1.693030678189167E+16</v>
      </c>
    </row>
    <row r="9" spans="1:19" x14ac:dyDescent="0.25">
      <c r="A9" s="1"/>
      <c r="B9" s="1">
        <v>2022</v>
      </c>
      <c r="C9" s="10">
        <v>24702029705.092602</v>
      </c>
      <c r="D9" s="5">
        <v>9.566686845253372</v>
      </c>
      <c r="E9" s="9">
        <v>4730.7454891049902</v>
      </c>
      <c r="F9" s="9">
        <v>323223074349.60602</v>
      </c>
      <c r="G9" s="11">
        <v>276506804871.164</v>
      </c>
      <c r="H9" s="32">
        <v>9.7458860999999999</v>
      </c>
      <c r="I9" s="12">
        <v>1319076267291.51</v>
      </c>
      <c r="K9" s="1"/>
      <c r="L9" s="1">
        <v>2022</v>
      </c>
      <c r="M9" s="8">
        <f>24702029705.0926*15731</f>
        <v>388587629290811.69</v>
      </c>
      <c r="N9" s="5">
        <v>9.566686845253372</v>
      </c>
      <c r="O9" s="7">
        <f xml:space="preserve"> 4730.74548910499*15731</f>
        <v>74419357.289110601</v>
      </c>
      <c r="P9" s="7">
        <f xml:space="preserve"> 323223074349.606*15731</f>
        <v>5084622182593652</v>
      </c>
      <c r="Q9" s="7">
        <f xml:space="preserve"> 276506804871.164*15731</f>
        <v>4349728547428281</v>
      </c>
      <c r="R9" s="13">
        <v>9.7458860999999999</v>
      </c>
      <c r="S9" s="2">
        <f>1319076267291.51*15731</f>
        <v>2.0750388760762744E+16</v>
      </c>
    </row>
    <row r="10" spans="1:19" x14ac:dyDescent="0.25">
      <c r="A10" s="1" t="s">
        <v>10</v>
      </c>
      <c r="B10" s="1">
        <v>2015</v>
      </c>
      <c r="C10" s="9">
        <v>9857162111.8232899</v>
      </c>
      <c r="D10" s="5">
        <v>1.2180557335533848</v>
      </c>
      <c r="E10" s="33">
        <v>9648.6797937523006</v>
      </c>
      <c r="F10" s="9">
        <v>209287287856.543</v>
      </c>
      <c r="G10" s="11">
        <v>186603344672.91501</v>
      </c>
      <c r="H10" s="32">
        <v>14.99274</v>
      </c>
      <c r="I10" s="12">
        <v>301355266964.94702</v>
      </c>
      <c r="K10" s="1" t="s">
        <v>10</v>
      </c>
      <c r="L10" s="1">
        <v>2015</v>
      </c>
      <c r="M10" s="4">
        <f>9857162111.82329*13795</f>
        <v>135979551332602.28</v>
      </c>
      <c r="N10" s="5">
        <v>1.2180557335533848</v>
      </c>
      <c r="O10" s="6">
        <f>9648.6797937523*13795</f>
        <v>133103537.75481299</v>
      </c>
      <c r="P10" s="7">
        <f>209287287856.543*13795</f>
        <v>2887118135981010.5</v>
      </c>
      <c r="Q10" s="7">
        <f>186603344672.915*13795</f>
        <v>2574193139762862.5</v>
      </c>
      <c r="R10" s="13">
        <v>14.99274</v>
      </c>
      <c r="S10" s="2">
        <f>301355266964.947*13795</f>
        <v>4157195907781444</v>
      </c>
    </row>
    <row r="11" spans="1:19" x14ac:dyDescent="0.25">
      <c r="A11" s="1"/>
      <c r="B11" s="1">
        <v>2016</v>
      </c>
      <c r="C11" s="9">
        <v>13470089920.806999</v>
      </c>
      <c r="D11" s="5">
        <v>1.65825996642414</v>
      </c>
      <c r="E11" s="33">
        <v>9476.5340980992296</v>
      </c>
      <c r="F11" s="9">
        <v>201165058574.724</v>
      </c>
      <c r="G11" s="11">
        <v>181125866049.41599</v>
      </c>
      <c r="H11" s="32">
        <v>14.9818471</v>
      </c>
      <c r="I11" s="12">
        <v>301256033870.33398</v>
      </c>
      <c r="K11" s="1"/>
      <c r="L11" s="1">
        <v>2016</v>
      </c>
      <c r="M11" s="4">
        <f>13470089920.807*13436</f>
        <v>180984128175962.84</v>
      </c>
      <c r="N11" s="5">
        <v>1.65825996642414</v>
      </c>
      <c r="O11" s="6">
        <f>9476.53409809923*13436</f>
        <v>127326712.14206125</v>
      </c>
      <c r="P11" s="7">
        <f>201165058574.724*13436</f>
        <v>2702853727009991.5</v>
      </c>
      <c r="Q11" s="7">
        <f>181125866049.416*13436</f>
        <v>2433607136239953</v>
      </c>
      <c r="R11" s="13">
        <v>14.9818471</v>
      </c>
      <c r="S11" s="2">
        <f>301256033870.334*13436</f>
        <v>4047676071081807.5</v>
      </c>
    </row>
    <row r="12" spans="1:19" x14ac:dyDescent="0.25">
      <c r="A12" s="1"/>
      <c r="B12" s="1">
        <v>2017</v>
      </c>
      <c r="C12" s="10">
        <v>9368469822.6614609</v>
      </c>
      <c r="D12" s="5">
        <v>3.7789609430645328</v>
      </c>
      <c r="E12" s="9">
        <v>9862.5480661223501</v>
      </c>
      <c r="F12" s="9">
        <v>223413837325.056</v>
      </c>
      <c r="G12" s="11">
        <v>201496430249.828</v>
      </c>
      <c r="H12" s="32">
        <v>14.683821099999999</v>
      </c>
      <c r="I12" s="12">
        <v>319109094160.34302</v>
      </c>
      <c r="K12" s="1"/>
      <c r="L12" s="1">
        <v>2017</v>
      </c>
      <c r="M12" s="8">
        <f>9368469822.66146*13548</f>
        <v>126924029157417.47</v>
      </c>
      <c r="N12" s="5">
        <v>3.7789609430645328</v>
      </c>
      <c r="O12" s="7">
        <f xml:space="preserve"> 9862.54806612235 * 13548</f>
        <v>133617801.1998256</v>
      </c>
      <c r="P12" s="7">
        <f xml:space="preserve"> 223413837325.056*13548</f>
        <v>3026810668079858.5</v>
      </c>
      <c r="Q12" s="7">
        <f xml:space="preserve"> 201496430249.828*13548</f>
        <v>2729873637024670</v>
      </c>
      <c r="R12" s="13">
        <v>14.683821099999999</v>
      </c>
      <c r="S12" s="2">
        <f>319109094160.343*13548</f>
        <v>4323290007684327</v>
      </c>
    </row>
    <row r="13" spans="1:19" x14ac:dyDescent="0.25">
      <c r="A13" s="1"/>
      <c r="B13" s="1">
        <v>2018</v>
      </c>
      <c r="C13" s="10">
        <v>8304480741.6526699</v>
      </c>
      <c r="D13" s="5">
        <v>0.62467467458664316</v>
      </c>
      <c r="E13" s="9">
        <v>10901.8019954421</v>
      </c>
      <c r="F13" s="9">
        <v>245967590635.246</v>
      </c>
      <c r="G13" s="11">
        <v>221902484182.66599</v>
      </c>
      <c r="H13" s="32">
        <v>14.063303700000001</v>
      </c>
      <c r="I13" s="12">
        <v>358788845712.53003</v>
      </c>
      <c r="K13" s="1"/>
      <c r="L13" s="1">
        <v>2018</v>
      </c>
      <c r="M13" s="8">
        <f>8304480741.65267*14481</f>
        <v>120257185619872.31</v>
      </c>
      <c r="N13" s="5">
        <v>0.62467467458664316</v>
      </c>
      <c r="O13" s="7">
        <f xml:space="preserve"> 10901.8019954421*14481</f>
        <v>157868994.69599706</v>
      </c>
      <c r="P13" s="7">
        <f xml:space="preserve"> 245967590635.246*14481</f>
        <v>3561856679988997.5</v>
      </c>
      <c r="Q13" s="7">
        <f xml:space="preserve"> 221902484182.666 *14481</f>
        <v>3213369873449186</v>
      </c>
      <c r="R13" s="13">
        <v>14.063303700000001</v>
      </c>
      <c r="S13" s="2">
        <f>358788845712.53*14481</f>
        <v>5195621274763147</v>
      </c>
    </row>
    <row r="14" spans="1:19" x14ac:dyDescent="0.25">
      <c r="A14" s="1"/>
      <c r="B14" s="1">
        <v>2019</v>
      </c>
      <c r="C14" s="10">
        <v>9154921685.0393391</v>
      </c>
      <c r="D14" s="5">
        <v>7.1826909312136422E-2</v>
      </c>
      <c r="E14" s="9">
        <v>10920.191763972</v>
      </c>
      <c r="F14" s="9">
        <v>238379861290.48599</v>
      </c>
      <c r="G14" s="11">
        <v>210893037728.698</v>
      </c>
      <c r="H14" s="22">
        <v>13.357518499999999</v>
      </c>
      <c r="I14" s="12">
        <v>365177721021.51599</v>
      </c>
      <c r="K14" s="1"/>
      <c r="L14" s="1">
        <v>2019</v>
      </c>
      <c r="M14" s="8">
        <f>9154921685.03934*13901</f>
        <v>127262566343731.86</v>
      </c>
      <c r="N14" s="5">
        <v>7.1826909312136422E-2</v>
      </c>
      <c r="O14" s="7">
        <f xml:space="preserve"> 10920.191763972*13901</f>
        <v>151801585.71097475</v>
      </c>
      <c r="P14" s="7">
        <f xml:space="preserve"> 238379861290.486*13901</f>
        <v>3313718451799046</v>
      </c>
      <c r="Q14" s="7">
        <f xml:space="preserve"> 210893037728.698*13901</f>
        <v>2931624117466631</v>
      </c>
      <c r="R14" s="22">
        <v>13.357518499999999</v>
      </c>
      <c r="S14" s="2">
        <f>365177721021.516*13901</f>
        <v>5076335499920094</v>
      </c>
    </row>
    <row r="15" spans="1:19" x14ac:dyDescent="0.25">
      <c r="A15" s="1"/>
      <c r="B15" s="1">
        <v>2020</v>
      </c>
      <c r="C15" s="10">
        <v>4058769678.6423101</v>
      </c>
      <c r="D15" s="5">
        <v>-0.818007729183023</v>
      </c>
      <c r="E15" s="9">
        <v>9957.5262669761305</v>
      </c>
      <c r="F15" s="9">
        <v>207798540352.974</v>
      </c>
      <c r="G15" s="11">
        <v>186310380061.10199</v>
      </c>
      <c r="H15" s="22">
        <v>13.933472</v>
      </c>
      <c r="I15" s="12">
        <v>337456163961.211</v>
      </c>
      <c r="K15" s="1"/>
      <c r="L15" s="1">
        <v>2020</v>
      </c>
      <c r="M15" s="8">
        <f>4058769678.64231*14105</f>
        <v>57248946317249.781</v>
      </c>
      <c r="N15" s="5">
        <v>-0.818007729183023</v>
      </c>
      <c r="O15" s="7">
        <f xml:space="preserve"> 9957.52626697613*14105</f>
        <v>140450907.99569833</v>
      </c>
      <c r="P15" s="7">
        <f xml:space="preserve"> 207798540352.974*14105</f>
        <v>2930998411678698.5</v>
      </c>
      <c r="Q15" s="7">
        <f xml:space="preserve"> 186310380061.102*14105</f>
        <v>2627907910761843.5</v>
      </c>
      <c r="R15" s="22">
        <v>13.933472</v>
      </c>
      <c r="S15" s="2">
        <f>337456163961.211*14105</f>
        <v>4759819192672881</v>
      </c>
    </row>
    <row r="16" spans="1:19" x14ac:dyDescent="0.25">
      <c r="A16" s="1"/>
      <c r="B16" s="1">
        <v>2021</v>
      </c>
      <c r="C16" s="10">
        <v>20245157326.802399</v>
      </c>
      <c r="D16" s="5">
        <v>5.6759384876411616</v>
      </c>
      <c r="E16" s="9">
        <v>10903.1116425938</v>
      </c>
      <c r="F16" s="9">
        <v>264015642139.89099</v>
      </c>
      <c r="G16" s="11">
        <v>236990564273.121</v>
      </c>
      <c r="H16" s="22">
        <v>12.653576599999999</v>
      </c>
      <c r="I16" s="12">
        <v>373784823672.94598</v>
      </c>
      <c r="K16" s="1"/>
      <c r="L16" s="1">
        <v>2021</v>
      </c>
      <c r="M16" s="8">
        <f>20245157326.8024*14269</f>
        <v>288878149896143.44</v>
      </c>
      <c r="N16" s="5">
        <v>5.6759384876411616</v>
      </c>
      <c r="O16" s="7">
        <f xml:space="preserve"> 10903.1116425938*14269</f>
        <v>155576500.02817094</v>
      </c>
      <c r="P16" s="7">
        <f xml:space="preserve"> 264015642139.891*14269</f>
        <v>3767239197694104.5</v>
      </c>
      <c r="Q16" s="7">
        <f xml:space="preserve"> 236990564273.121*14269</f>
        <v>3381618361613163.5</v>
      </c>
      <c r="R16" s="22">
        <v>12.653576599999999</v>
      </c>
      <c r="S16" s="2">
        <f>373784823672.946*14269</f>
        <v>5333535648989266</v>
      </c>
    </row>
    <row r="17" spans="1:19" x14ac:dyDescent="0.25">
      <c r="A17" s="1"/>
      <c r="B17" s="1">
        <v>2022</v>
      </c>
      <c r="C17" s="10">
        <v>15027992710.6145</v>
      </c>
      <c r="D17" s="5">
        <v>6.4034851182009618</v>
      </c>
      <c r="E17" s="9">
        <v>11748.0919307944</v>
      </c>
      <c r="F17" s="9">
        <v>313245857998.71997</v>
      </c>
      <c r="G17" s="11">
        <v>283918784805.43298</v>
      </c>
      <c r="H17" s="22">
        <v>11.059503100000001</v>
      </c>
      <c r="I17" s="12">
        <v>407605841348.23499</v>
      </c>
      <c r="K17" s="1"/>
      <c r="L17" s="1">
        <v>2022</v>
      </c>
      <c r="M17" s="8">
        <f>15027992710.6145*15731</f>
        <v>236405353330676.69</v>
      </c>
      <c r="N17" s="5">
        <v>6.4034851182009618</v>
      </c>
      <c r="O17" s="7">
        <f xml:space="preserve"> 11748.0919307944*15731</f>
        <v>184809234.16332671</v>
      </c>
      <c r="P17" s="7">
        <f xml:space="preserve"> 313245857998.72*15731</f>
        <v>4927670592177864</v>
      </c>
      <c r="Q17" s="7">
        <f xml:space="preserve"> 283918784805.433*15731</f>
        <v>4466326403774266.5</v>
      </c>
      <c r="R17" s="22">
        <v>11.059503100000001</v>
      </c>
      <c r="S17" s="2">
        <f>407605841348.235*15731</f>
        <v>6412047490249085</v>
      </c>
    </row>
    <row r="18" spans="1:19" x14ac:dyDescent="0.25">
      <c r="A18" s="1" t="s">
        <v>11</v>
      </c>
      <c r="B18" s="1">
        <v>2015</v>
      </c>
      <c r="C18" s="9">
        <v>8927579182.1621704</v>
      </c>
      <c r="D18" s="5">
        <v>0.72211357341251414</v>
      </c>
      <c r="E18" s="33">
        <v>5688.8533539788396</v>
      </c>
      <c r="F18" s="9">
        <v>271423493717.84399</v>
      </c>
      <c r="G18" s="11">
        <v>229553374316.892</v>
      </c>
      <c r="H18" s="22">
        <v>11.575537300000001</v>
      </c>
      <c r="I18" s="12">
        <v>401296238228.08398</v>
      </c>
      <c r="K18" s="1" t="s">
        <v>11</v>
      </c>
      <c r="L18" s="1">
        <v>2015</v>
      </c>
      <c r="M18" s="4">
        <f>8927579182.16217*13795</f>
        <v>123155954817927.14</v>
      </c>
      <c r="N18" s="5">
        <v>0.72211357341251414</v>
      </c>
      <c r="O18" s="6">
        <f>5688.85335397884*13795</f>
        <v>78477732.018138096</v>
      </c>
      <c r="P18" s="7">
        <f>271423493717.844*13795</f>
        <v>3744287095837658</v>
      </c>
      <c r="Q18" s="7">
        <f>229553374316.892*13795</f>
        <v>3166688798701525</v>
      </c>
      <c r="R18" s="22">
        <v>11.575537300000001</v>
      </c>
      <c r="S18" s="2">
        <f>401296238228.084*13795</f>
        <v>5535881606356419</v>
      </c>
    </row>
    <row r="19" spans="1:19" x14ac:dyDescent="0.25">
      <c r="A19" s="1"/>
      <c r="B19" s="1">
        <v>2016</v>
      </c>
      <c r="C19" s="9">
        <v>3486184390.3006902</v>
      </c>
      <c r="D19" s="5">
        <v>2.6361676199892798</v>
      </c>
      <c r="E19" s="33">
        <v>5833.5771561709798</v>
      </c>
      <c r="F19" s="9">
        <v>277248464807.28601</v>
      </c>
      <c r="G19" s="11">
        <v>221168950937.55099</v>
      </c>
      <c r="H19" s="22">
        <v>13.282976400000001</v>
      </c>
      <c r="I19" s="12">
        <v>413366349747.508</v>
      </c>
      <c r="K19" s="1"/>
      <c r="L19" s="1">
        <v>2016</v>
      </c>
      <c r="M19" s="4">
        <f>3486184390.30069*13436</f>
        <v>46840373468080.07</v>
      </c>
      <c r="N19" s="5">
        <v>2.6361676199892798</v>
      </c>
      <c r="O19" s="6">
        <f>5833.57715617098*13436</f>
        <v>78379942.670313284</v>
      </c>
      <c r="P19" s="7">
        <f>277248464807.286*13436</f>
        <v>3725110373150695</v>
      </c>
      <c r="Q19" s="7">
        <f>221168950937.551*13436</f>
        <v>2971626024796935</v>
      </c>
      <c r="R19" s="22">
        <v>13.282976400000001</v>
      </c>
      <c r="S19" s="2">
        <f>413366349747.508*13436</f>
        <v>5553990275207517</v>
      </c>
    </row>
    <row r="20" spans="1:19" x14ac:dyDescent="0.25">
      <c r="A20" s="1"/>
      <c r="B20" s="1">
        <v>2017</v>
      </c>
      <c r="C20" s="10">
        <v>8285169819.69135</v>
      </c>
      <c r="D20" s="5">
        <v>1.8999449899776977</v>
      </c>
      <c r="E20" s="9">
        <v>6413.0918253034297</v>
      </c>
      <c r="F20" s="9">
        <v>304266013738.26202</v>
      </c>
      <c r="G20" s="11">
        <v>247430252336.99701</v>
      </c>
      <c r="H20" s="22">
        <v>11.8788401</v>
      </c>
      <c r="I20" s="12">
        <v>456356813536.76398</v>
      </c>
      <c r="K20" s="1"/>
      <c r="L20" s="1">
        <v>2017</v>
      </c>
      <c r="M20" s="8">
        <f>8285169819.69135*13548</f>
        <v>112247480717178.41</v>
      </c>
      <c r="N20" s="5">
        <v>1.8999449899776977</v>
      </c>
      <c r="O20" s="7">
        <f xml:space="preserve"> 6413.09182530343 * 13548</f>
        <v>86884568.049210861</v>
      </c>
      <c r="P20" s="7">
        <f xml:space="preserve"> 304266013738.262*13548</f>
        <v>4122195954125974</v>
      </c>
      <c r="Q20" s="7">
        <f xml:space="preserve"> 247430252336.997*13548</f>
        <v>3352185058661635.5</v>
      </c>
      <c r="R20" s="22">
        <v>11.8788401</v>
      </c>
      <c r="S20" s="2">
        <f>456356813536.764*13548</f>
        <v>6182722109796078</v>
      </c>
    </row>
    <row r="21" spans="1:19" x14ac:dyDescent="0.25">
      <c r="A21" s="1"/>
      <c r="B21" s="1">
        <v>2018</v>
      </c>
      <c r="C21" s="10">
        <v>13747219811.179199</v>
      </c>
      <c r="D21" s="5">
        <v>1.4285861642072746</v>
      </c>
      <c r="E21" s="9">
        <v>7099.7765008145798</v>
      </c>
      <c r="F21" s="9">
        <v>328569784686.74298</v>
      </c>
      <c r="G21" s="11">
        <v>283801450351.97198</v>
      </c>
      <c r="H21" s="22">
        <v>9.7458860999999999</v>
      </c>
      <c r="I21" s="12">
        <v>506754208404.48499</v>
      </c>
      <c r="K21" s="1"/>
      <c r="L21" s="1">
        <v>2018</v>
      </c>
      <c r="M21" s="8">
        <f>13747219811.1792*14481</f>
        <v>199073490085685.97</v>
      </c>
      <c r="N21" s="5">
        <v>1.4285861642072746</v>
      </c>
      <c r="O21" s="7">
        <f xml:space="preserve"> 7099.77650081458*14481</f>
        <v>102811863.50829592</v>
      </c>
      <c r="P21" s="7">
        <f xml:space="preserve"> 328569784686.743*14481</f>
        <v>4758019052048725</v>
      </c>
      <c r="Q21" s="7">
        <f xml:space="preserve"> 283801450351.972*14481</f>
        <v>4109728802546906.5</v>
      </c>
      <c r="R21" s="22">
        <v>9.7458860999999999</v>
      </c>
      <c r="S21" s="2">
        <f>506754208404.485*14481</f>
        <v>7338307691905347</v>
      </c>
    </row>
    <row r="22" spans="1:19" x14ac:dyDescent="0.25">
      <c r="A22" s="1"/>
      <c r="B22" s="1">
        <v>2019</v>
      </c>
      <c r="C22" s="10">
        <v>5534140214.6046801</v>
      </c>
      <c r="D22" s="5">
        <v>1.0144234064249673</v>
      </c>
      <c r="E22" s="9">
        <v>7605.6965779775901</v>
      </c>
      <c r="F22" s="9">
        <v>323768892197.35699</v>
      </c>
      <c r="G22" s="11">
        <v>272916501194.97101</v>
      </c>
      <c r="H22" s="22">
        <v>14.99274</v>
      </c>
      <c r="I22" s="12">
        <v>543976691793.88599</v>
      </c>
      <c r="K22" s="1"/>
      <c r="L22" s="1">
        <v>2019</v>
      </c>
      <c r="M22" s="8">
        <f>5534140214.60468*13901</f>
        <v>76930083123219.656</v>
      </c>
      <c r="N22" s="5">
        <v>1.0144234064249673</v>
      </c>
      <c r="O22" s="7">
        <f xml:space="preserve"> 7605.69657797759*13901</f>
        <v>105726788.13046648</v>
      </c>
      <c r="P22" s="7">
        <f xml:space="preserve"> 323768892197.357*13901</f>
        <v>4500711370435459.5</v>
      </c>
      <c r="Q22" s="7">
        <f xml:space="preserve"> 272916501194.971*13901</f>
        <v>3793812283111292</v>
      </c>
      <c r="R22" s="22">
        <v>14.99274</v>
      </c>
      <c r="S22" s="2">
        <f>543976691793.886*13901</f>
        <v>7561819992626809</v>
      </c>
    </row>
    <row r="23" spans="1:19" x14ac:dyDescent="0.25">
      <c r="A23" s="1"/>
      <c r="B23" s="1">
        <v>2020</v>
      </c>
      <c r="C23" s="10">
        <v>-4293910676.95961</v>
      </c>
      <c r="D23" s="5">
        <v>-1.2987750574158099</v>
      </c>
      <c r="E23" s="9">
        <v>6985.6439389257403</v>
      </c>
      <c r="F23" s="9">
        <v>257709985018.37701</v>
      </c>
      <c r="G23" s="11">
        <v>231745471360.936</v>
      </c>
      <c r="H23" s="22">
        <v>14.9818471</v>
      </c>
      <c r="I23" s="12">
        <v>500461898480.24597</v>
      </c>
      <c r="K23" s="1"/>
      <c r="L23" s="1">
        <v>2020</v>
      </c>
      <c r="M23" s="8">
        <f>-4293910676.95961*14105</f>
        <v>-60565610098515.297</v>
      </c>
      <c r="N23" s="5">
        <v>-1.2987750574158099</v>
      </c>
      <c r="O23" s="7">
        <f xml:space="preserve"> 6985.64393892574*14105</f>
        <v>98532507.758547559</v>
      </c>
      <c r="P23" s="7">
        <f xml:space="preserve"> 257709985018.377*14105</f>
        <v>3634999338684208</v>
      </c>
      <c r="Q23" s="7">
        <f xml:space="preserve"> 231745471360.936*14105</f>
        <v>3268769873546002.5</v>
      </c>
      <c r="R23" s="22">
        <v>14.9818471</v>
      </c>
      <c r="S23" s="2">
        <f>500461898480.246*14105</f>
        <v>7059015078063869</v>
      </c>
    </row>
    <row r="24" spans="1:19" x14ac:dyDescent="0.25">
      <c r="A24" s="1"/>
      <c r="B24" s="1">
        <v>2021</v>
      </c>
      <c r="C24" s="10">
        <v>15389597696.2421</v>
      </c>
      <c r="D24" s="5">
        <v>1.7710722634539593</v>
      </c>
      <c r="E24" s="9">
        <v>7058.0694998851995</v>
      </c>
      <c r="F24" s="9">
        <v>296424506130.06</v>
      </c>
      <c r="G24" s="11">
        <v>296627151192.26099</v>
      </c>
      <c r="H24" s="22">
        <v>14.683821099999999</v>
      </c>
      <c r="I24" s="12">
        <v>506256494297.34003</v>
      </c>
      <c r="K24" s="1"/>
      <c r="L24" s="1">
        <v>2021</v>
      </c>
      <c r="M24" s="8">
        <f>15389597696.2421*14269</f>
        <v>219594169527678.53</v>
      </c>
      <c r="N24" s="5">
        <v>1.7710722634539593</v>
      </c>
      <c r="O24" s="7">
        <f xml:space="preserve"> 7058.0694998852*14269</f>
        <v>100711593.69386192</v>
      </c>
      <c r="P24" s="7">
        <f xml:space="preserve"> 296424506130.06*14269</f>
        <v>4229681277969826</v>
      </c>
      <c r="Q24" s="7">
        <f xml:space="preserve"> 296627151192.261*14269</f>
        <v>4232572820362372</v>
      </c>
      <c r="R24" s="22">
        <v>14.683821099999999</v>
      </c>
      <c r="S24" s="2">
        <f>506256494297.34*14269</f>
        <v>7223773917128745</v>
      </c>
    </row>
    <row r="25" spans="1:19" x14ac:dyDescent="0.25">
      <c r="A25" s="1"/>
      <c r="B25" s="1">
        <v>2022</v>
      </c>
      <c r="C25" s="10">
        <v>11854822037.876301</v>
      </c>
      <c r="D25" s="5">
        <v>4.7669957873565352</v>
      </c>
      <c r="E25" s="9">
        <v>6909.3599748145098</v>
      </c>
      <c r="F25" s="9">
        <v>323968095968.78601</v>
      </c>
      <c r="G25" s="11">
        <v>334528199102.14697</v>
      </c>
      <c r="H25" s="22">
        <v>14.063303700000001</v>
      </c>
      <c r="I25" s="12">
        <v>495645210972.75098</v>
      </c>
      <c r="K25" s="1"/>
      <c r="L25" s="1">
        <v>2022</v>
      </c>
      <c r="M25" s="8">
        <f>11854822037.8763*15731</f>
        <v>186488205477832.09</v>
      </c>
      <c r="N25" s="5">
        <v>4.7669957873565352</v>
      </c>
      <c r="O25" s="7">
        <f xml:space="preserve"> 6909.35997481451*15731</f>
        <v>108691141.76380706</v>
      </c>
      <c r="P25" s="7">
        <f>323968095968.786*15731</f>
        <v>5096342117684973</v>
      </c>
      <c r="Q25" s="7">
        <f>334528199102.147*15731</f>
        <v>5262463100075874</v>
      </c>
      <c r="R25" s="22">
        <v>14.063303700000001</v>
      </c>
      <c r="S25" s="2">
        <f>495645210972.751*15731</f>
        <v>7796994813812346</v>
      </c>
    </row>
    <row r="26" spans="1:19" x14ac:dyDescent="0.25">
      <c r="A26" s="1" t="s">
        <v>12</v>
      </c>
      <c r="B26" s="1">
        <v>2015</v>
      </c>
      <c r="C26" s="9">
        <v>5639155961.8738899</v>
      </c>
      <c r="D26" s="5">
        <v>-0.71968278932669705</v>
      </c>
      <c r="E26" s="33">
        <v>2909.8581801447399</v>
      </c>
      <c r="F26" s="9">
        <v>83377968054.301697</v>
      </c>
      <c r="G26" s="11">
        <v>97858999139.394394</v>
      </c>
      <c r="H26" s="22">
        <v>14.5124415</v>
      </c>
      <c r="I26" s="12">
        <v>306445871246.71802</v>
      </c>
      <c r="K26" s="1" t="s">
        <v>12</v>
      </c>
      <c r="L26" s="1">
        <v>2015</v>
      </c>
      <c r="M26" s="4">
        <f>5639155961.87389*13795</f>
        <v>77792156494050.313</v>
      </c>
      <c r="N26" s="5">
        <v>-0.71968278932669705</v>
      </c>
      <c r="O26" s="6">
        <f>2909.85818014474*13795</f>
        <v>40141493.595096685</v>
      </c>
      <c r="P26" s="7">
        <f>83377968054.3017*13795</f>
        <v>1150199069309092</v>
      </c>
      <c r="Q26" s="7">
        <f>97858999139.3944*13795</f>
        <v>1349964893127945.8</v>
      </c>
      <c r="R26" s="22">
        <v>14.5124415</v>
      </c>
      <c r="S26" s="2">
        <f>306445871246.718*13795</f>
        <v>4227420793848475</v>
      </c>
    </row>
    <row r="27" spans="1:19" x14ac:dyDescent="0.25">
      <c r="A27" s="1"/>
      <c r="B27" s="1">
        <v>2016</v>
      </c>
      <c r="C27" s="9">
        <v>8279548274.8850098</v>
      </c>
      <c r="D27" s="5">
        <v>1.2803117382458993</v>
      </c>
      <c r="E27" s="33">
        <v>2985.1956402010101</v>
      </c>
      <c r="F27" s="9">
        <v>84987391167.996704</v>
      </c>
      <c r="G27" s="11">
        <v>111847835761.901</v>
      </c>
      <c r="H27" s="22">
        <v>15.107599499999999</v>
      </c>
      <c r="I27" s="12">
        <v>318627003012.52002</v>
      </c>
      <c r="K27" s="1"/>
      <c r="L27" s="1">
        <v>2016</v>
      </c>
      <c r="M27" s="4">
        <f>8279548274.88501*13436</f>
        <v>111244010621354.98</v>
      </c>
      <c r="N27" s="5">
        <v>1.2803117382458993</v>
      </c>
      <c r="O27" s="6">
        <f>2985.19564020101*13436</f>
        <v>40109088.621740773</v>
      </c>
      <c r="P27" s="7">
        <f>84987391167.9967*13436</f>
        <v>1141890587733203.8</v>
      </c>
      <c r="Q27" s="7">
        <f>111847835761.901*13436</f>
        <v>1502787521296901.8</v>
      </c>
      <c r="R27" s="22">
        <v>15.107599499999999</v>
      </c>
      <c r="S27" s="2">
        <f>318627003012.52*13436</f>
        <v>4281072412476219</v>
      </c>
    </row>
    <row r="28" spans="1:19" x14ac:dyDescent="0.25">
      <c r="A28" s="1"/>
      <c r="B28" s="1">
        <v>2017</v>
      </c>
      <c r="C28" s="10">
        <v>10256442398.8834</v>
      </c>
      <c r="D28" s="5">
        <v>2.3202599468014569</v>
      </c>
      <c r="E28" s="9">
        <v>3038.1212495561899</v>
      </c>
      <c r="F28" s="9">
        <v>97073582741.511902</v>
      </c>
      <c r="G28" s="11">
        <v>126846380455.649</v>
      </c>
      <c r="H28" s="22">
        <v>13.3428649</v>
      </c>
      <c r="I28" s="12">
        <v>328480736798.79199</v>
      </c>
      <c r="K28" s="1"/>
      <c r="L28" s="1">
        <v>2017</v>
      </c>
      <c r="M28" s="8">
        <f>10256442398.8834*13548</f>
        <v>138954281620072.3</v>
      </c>
      <c r="N28" s="5">
        <v>2.3202599468014569</v>
      </c>
      <c r="O28" s="7">
        <f xml:space="preserve"> 3038.12124955619 * 13548</f>
        <v>41160466.688987263</v>
      </c>
      <c r="P28" s="7">
        <f>97073582741.5119*13548</f>
        <v>1315152898982003.3</v>
      </c>
      <c r="Q28" s="7">
        <f>126846380455.649*13548</f>
        <v>1718514762413132.8</v>
      </c>
      <c r="R28" s="22">
        <v>13.3428649</v>
      </c>
      <c r="S28" s="2">
        <f>328480736798.792*13548</f>
        <v>4450257022150034</v>
      </c>
    </row>
    <row r="29" spans="1:19" x14ac:dyDescent="0.25">
      <c r="A29" s="1"/>
      <c r="B29" s="1">
        <v>2018</v>
      </c>
      <c r="C29" s="10">
        <v>9948598823.9686699</v>
      </c>
      <c r="D29" s="5">
        <v>3.7406538308698742</v>
      </c>
      <c r="E29" s="9">
        <v>3168.51036606257</v>
      </c>
      <c r="F29" s="9">
        <v>104793441904.255</v>
      </c>
      <c r="G29" s="11">
        <v>145499457397.948</v>
      </c>
      <c r="H29" s="22">
        <v>11.829547399999999</v>
      </c>
      <c r="I29" s="12">
        <v>346841896583.51501</v>
      </c>
      <c r="K29" s="1"/>
      <c r="L29" s="1">
        <v>2018</v>
      </c>
      <c r="M29" s="8">
        <f>9948598823.96867*14481</f>
        <v>144065659569890.31</v>
      </c>
      <c r="N29" s="5">
        <v>3.7406538308698742</v>
      </c>
      <c r="O29" s="7">
        <f>3168.51036606257*14481</f>
        <v>45883198.610952079</v>
      </c>
      <c r="P29" s="7">
        <f>104793441904.255*14481</f>
        <v>1517513832215516.8</v>
      </c>
      <c r="Q29" s="7">
        <f>145499457397.948*14481</f>
        <v>2106977642579685</v>
      </c>
      <c r="R29" s="22">
        <v>11.829547399999999</v>
      </c>
      <c r="S29" s="2">
        <f>346841896583.515*14481</f>
        <v>5022617504425881</v>
      </c>
    </row>
    <row r="30" spans="1:19" x14ac:dyDescent="0.25">
      <c r="A30" s="1"/>
      <c r="B30" s="1">
        <v>2019</v>
      </c>
      <c r="C30" s="10">
        <v>8671365873.6568909</v>
      </c>
      <c r="D30" s="5">
        <v>0.69707630104534246</v>
      </c>
      <c r="E30" s="9">
        <v>3400.7894977230198</v>
      </c>
      <c r="F30" s="9">
        <v>106953484846.44</v>
      </c>
      <c r="G30" s="11">
        <v>152458687320.16299</v>
      </c>
      <c r="H30" s="22">
        <v>13.530314799999999</v>
      </c>
      <c r="I30" s="12">
        <v>376823402244.92798</v>
      </c>
      <c r="K30" s="1"/>
      <c r="L30" s="1">
        <v>2019</v>
      </c>
      <c r="M30" s="8">
        <f>8671365873.65689*13901</f>
        <v>120540657009704.44</v>
      </c>
      <c r="N30" s="5">
        <v>0.69707630104534246</v>
      </c>
      <c r="O30" s="7">
        <f>3400.78949772302*13901</f>
        <v>47274374.807847701</v>
      </c>
      <c r="P30" s="7">
        <f>106953484846.44*13901</f>
        <v>1486760392850362.5</v>
      </c>
      <c r="Q30" s="7">
        <f>152458687320.163*13901</f>
        <v>2119328212437585.8</v>
      </c>
      <c r="R30" s="22">
        <v>13.530314799999999</v>
      </c>
      <c r="S30" s="2">
        <f>376823402244.928*13901</f>
        <v>5238222114606744</v>
      </c>
    </row>
    <row r="31" spans="1:19" x14ac:dyDescent="0.25">
      <c r="A31" s="1"/>
      <c r="B31" s="1">
        <v>2020</v>
      </c>
      <c r="C31" s="10">
        <v>6822133290.81919</v>
      </c>
      <c r="D31" s="5">
        <v>1.6504901854718952</v>
      </c>
      <c r="E31" s="9">
        <v>3227.5791023519901</v>
      </c>
      <c r="F31" s="9">
        <v>91171559890.985199</v>
      </c>
      <c r="G31" s="11">
        <v>119257490806.48199</v>
      </c>
      <c r="H31" s="22">
        <v>14.3219853</v>
      </c>
      <c r="I31" s="12">
        <v>361751145451.59698</v>
      </c>
      <c r="K31" s="1"/>
      <c r="L31" s="1">
        <v>2020</v>
      </c>
      <c r="M31" s="8">
        <f>6822133290.81919*14105</f>
        <v>96226190067004.672</v>
      </c>
      <c r="N31" s="5">
        <v>1.6504901854718952</v>
      </c>
      <c r="O31" s="7">
        <f>3227.57910235199*14105</f>
        <v>45525003.238674819</v>
      </c>
      <c r="P31" s="7">
        <f>91171559890.9852*14105</f>
        <v>1285974852262346.3</v>
      </c>
      <c r="Q31" s="7">
        <f>119257490806.482*14105</f>
        <v>1682126907825428.5</v>
      </c>
      <c r="R31" s="22">
        <v>14.3219853</v>
      </c>
      <c r="S31" s="2">
        <f>361751145451.597*14105</f>
        <v>5102499906594775</v>
      </c>
    </row>
    <row r="32" spans="1:19" x14ac:dyDescent="0.25">
      <c r="A32" s="1"/>
      <c r="B32" s="1">
        <v>2021</v>
      </c>
      <c r="C32" s="10">
        <v>11983363327.4772</v>
      </c>
      <c r="D32" s="5">
        <v>2.2824784602485977</v>
      </c>
      <c r="E32" s="9">
        <v>3484.3859388281899</v>
      </c>
      <c r="F32" s="9">
        <v>101485514507.701</v>
      </c>
      <c r="G32" s="11">
        <v>148699308216.86899</v>
      </c>
      <c r="H32" s="22">
        <v>13.4529248</v>
      </c>
      <c r="I32" s="12">
        <v>394087359848.10999</v>
      </c>
      <c r="K32" s="1"/>
      <c r="L32" s="1">
        <v>2021</v>
      </c>
      <c r="M32" s="8">
        <f>11983363327.4772*14269</f>
        <v>170990611319772.16</v>
      </c>
      <c r="N32" s="5">
        <v>2.2824784602485977</v>
      </c>
      <c r="O32" s="7">
        <f>3484.38593882819*14269</f>
        <v>49718702.961139441</v>
      </c>
      <c r="P32" s="7">
        <f>101485514507.701*14269</f>
        <v>1448096806510385.8</v>
      </c>
      <c r="Q32" s="7">
        <f>148699308216.869*14269</f>
        <v>2121790428946503.5</v>
      </c>
      <c r="R32" s="22">
        <v>13.4529248</v>
      </c>
      <c r="S32" s="2">
        <f>394087359848.11*14269</f>
        <v>5623232537672681</v>
      </c>
    </row>
    <row r="33" spans="1:19" x14ac:dyDescent="0.25">
      <c r="A33" s="1"/>
      <c r="B33" s="1">
        <v>2022</v>
      </c>
      <c r="C33" s="10">
        <v>9492234668.1091003</v>
      </c>
      <c r="D33" s="5">
        <v>5.4886482020200873</v>
      </c>
      <c r="E33" s="9">
        <v>3548.0693057211602</v>
      </c>
      <c r="F33" s="9">
        <v>114785414693.61501</v>
      </c>
      <c r="G33" s="11">
        <v>178086451580.466</v>
      </c>
      <c r="H33" s="22">
        <v>11.824006900000001</v>
      </c>
      <c r="I33" s="12">
        <v>404353369604.63098</v>
      </c>
      <c r="K33" s="1"/>
      <c r="L33" s="1">
        <v>2022</v>
      </c>
      <c r="M33" s="8">
        <f>9492234668.1091*15731</f>
        <v>149322343564024.25</v>
      </c>
      <c r="N33" s="5">
        <v>5.4886482020200873</v>
      </c>
      <c r="O33" s="7">
        <f>3548.06930572116*15731</f>
        <v>55814678.248299569</v>
      </c>
      <c r="P33" s="7">
        <f>114785414693.615*15731</f>
        <v>1805689358545257.8</v>
      </c>
      <c r="Q33" s="7">
        <f>178086451580.466*15731</f>
        <v>2801477969812310.5</v>
      </c>
      <c r="R33" s="22">
        <v>11.824006900000001</v>
      </c>
      <c r="S33" s="2">
        <f>404353369604.631*15731</f>
        <v>6360882857250450</v>
      </c>
    </row>
    <row r="34" spans="1:19" x14ac:dyDescent="0.25">
      <c r="A34" s="1" t="s">
        <v>13</v>
      </c>
      <c r="B34" s="1">
        <v>2015</v>
      </c>
      <c r="C34" s="9">
        <v>69774553124.943207</v>
      </c>
      <c r="D34" s="5">
        <v>3.0719550096641797</v>
      </c>
      <c r="E34" s="33">
        <v>55645.606861460597</v>
      </c>
      <c r="F34" s="9">
        <v>549421999163.53003</v>
      </c>
      <c r="G34" s="11">
        <v>465345116651.21002</v>
      </c>
      <c r="H34" s="22">
        <v>12.8041585</v>
      </c>
      <c r="I34" s="12">
        <v>307998545269.39801</v>
      </c>
      <c r="K34" s="1" t="s">
        <v>13</v>
      </c>
      <c r="L34" s="1">
        <v>2015</v>
      </c>
      <c r="M34" s="4">
        <f>69774553124.9432*13795</f>
        <v>962539960358591.5</v>
      </c>
      <c r="N34" s="5">
        <v>3.0719550096641797</v>
      </c>
      <c r="O34" s="6">
        <f>55645.6068614606*13795</f>
        <v>767631146.65384889</v>
      </c>
      <c r="P34" s="7">
        <f>549421999163.53*13795</f>
        <v>7579276478460897</v>
      </c>
      <c r="Q34" s="7">
        <f>465345116651.21*13795</f>
        <v>6419435884203442</v>
      </c>
      <c r="R34" s="22">
        <v>12.8041585</v>
      </c>
      <c r="S34" s="2">
        <f>307998545269.398*13795</f>
        <v>4248839931991345.5</v>
      </c>
    </row>
    <row r="35" spans="1:19" x14ac:dyDescent="0.25">
      <c r="A35" s="1"/>
      <c r="B35" s="1">
        <v>2016</v>
      </c>
      <c r="C35" s="9">
        <v>65363061549.607597</v>
      </c>
      <c r="D35" s="5">
        <v>0.48962702899872568</v>
      </c>
      <c r="E35" s="33">
        <v>56899.918180517299</v>
      </c>
      <c r="F35" s="9">
        <v>525530384076.96899</v>
      </c>
      <c r="G35" s="11">
        <v>441913262388.65698</v>
      </c>
      <c r="H35" s="22">
        <v>13.7666317</v>
      </c>
      <c r="I35" s="12">
        <v>319053943915.005</v>
      </c>
      <c r="K35" s="1"/>
      <c r="L35" s="1">
        <v>2016</v>
      </c>
      <c r="M35" s="4">
        <f>65363061549.6076*13436</f>
        <v>878218094980527.63</v>
      </c>
      <c r="N35" s="5">
        <v>0.48962702899872568</v>
      </c>
      <c r="O35" s="6">
        <f>56899.9181805173*13436</f>
        <v>764507300.67343044</v>
      </c>
      <c r="P35" s="7">
        <f>525530384076.969*13436</f>
        <v>7061026240458155</v>
      </c>
      <c r="Q35" s="7">
        <f>441913262388.657*13436</f>
        <v>5937546593453995</v>
      </c>
      <c r="R35" s="22">
        <v>13.7666317</v>
      </c>
      <c r="S35" s="2">
        <f>319053943915.005*13436</f>
        <v>4286808790442007</v>
      </c>
    </row>
    <row r="36" spans="1:19" x14ac:dyDescent="0.25">
      <c r="A36" s="1"/>
      <c r="B36" s="1">
        <v>2017</v>
      </c>
      <c r="C36" s="10">
        <v>102165867081.847</v>
      </c>
      <c r="D36" s="5">
        <v>2.8940419140037363</v>
      </c>
      <c r="E36" s="9">
        <v>61162.097393277101</v>
      </c>
      <c r="F36" s="9">
        <v>589858681680.75696</v>
      </c>
      <c r="G36" s="11">
        <v>498376016076.18103</v>
      </c>
      <c r="H36" s="22">
        <v>10.768094400000001</v>
      </c>
      <c r="I36" s="12">
        <v>343257164581.71198</v>
      </c>
      <c r="K36" s="1"/>
      <c r="L36" s="1">
        <v>2017</v>
      </c>
      <c r="M36" s="8">
        <f>102165867081.847*13548</f>
        <v>1384143167224863.3</v>
      </c>
      <c r="N36" s="5">
        <v>2.8940419140037363</v>
      </c>
      <c r="O36" s="7">
        <f xml:space="preserve"> 61162.0973932771 * 13548</f>
        <v>828624095.48411822</v>
      </c>
      <c r="P36" s="7">
        <f>589858681680.757*13548</f>
        <v>7991405419410895</v>
      </c>
      <c r="Q36" s="7">
        <f>498376016076.181*13548</f>
        <v>6751998265800101</v>
      </c>
      <c r="R36" s="22">
        <v>10.768094400000001</v>
      </c>
      <c r="S36" s="2">
        <f>343257164581.712*13548</f>
        <v>4650448065753034</v>
      </c>
    </row>
    <row r="37" spans="1:19" x14ac:dyDescent="0.25">
      <c r="A37" s="1"/>
      <c r="B37" s="1">
        <v>2018</v>
      </c>
      <c r="C37" s="10">
        <v>82009180716.787704</v>
      </c>
      <c r="D37" s="5">
        <v>3.6041004347622732</v>
      </c>
      <c r="E37" s="9">
        <v>66840.637338979097</v>
      </c>
      <c r="F37" s="9">
        <v>671737757276.24097</v>
      </c>
      <c r="G37" s="11">
        <v>559658729487.96106</v>
      </c>
      <c r="H37" s="22">
        <v>8.8551976999999997</v>
      </c>
      <c r="I37" s="12">
        <v>376892697588.005</v>
      </c>
      <c r="K37" s="1"/>
      <c r="L37" s="1">
        <v>2018</v>
      </c>
      <c r="M37" s="8">
        <f>82009180716.7877*14481</f>
        <v>1187574945959802.8</v>
      </c>
      <c r="N37" s="5">
        <v>3.6041004347622732</v>
      </c>
      <c r="O37" s="7">
        <f>66840.6373389791*14481</f>
        <v>967919269.30575633</v>
      </c>
      <c r="P37" s="7">
        <f>671737757276.241*14481</f>
        <v>9727434463117246</v>
      </c>
      <c r="Q37" s="7">
        <f>559658729487.961*14481</f>
        <v>8104418061715164</v>
      </c>
      <c r="R37" s="22">
        <v>8.8551976999999997</v>
      </c>
      <c r="S37" s="2">
        <f>376892697588.005*14481</f>
        <v>5457783153771900</v>
      </c>
    </row>
    <row r="38" spans="1:19" x14ac:dyDescent="0.25">
      <c r="A38" s="1"/>
      <c r="B38" s="1">
        <v>2019</v>
      </c>
      <c r="C38" s="10">
        <v>105890494138.633</v>
      </c>
      <c r="D38" s="5">
        <v>-0.20441464095767969</v>
      </c>
      <c r="E38" s="9">
        <v>66081.719923516503</v>
      </c>
      <c r="F38" s="9">
        <v>664477941704.69995</v>
      </c>
      <c r="G38" s="11">
        <v>553179836939.70898</v>
      </c>
      <c r="H38" s="22">
        <v>15.6713884</v>
      </c>
      <c r="I38" s="12">
        <v>376901649222.45099</v>
      </c>
      <c r="K38" s="1"/>
      <c r="L38" s="1">
        <v>2019</v>
      </c>
      <c r="M38" s="8">
        <f>105890494138.633*13901</f>
        <v>1471983759021137.3</v>
      </c>
      <c r="N38" s="5">
        <v>-0.20441464095767969</v>
      </c>
      <c r="O38" s="7">
        <f>66081.7199235165*13901</f>
        <v>918601988.65680289</v>
      </c>
      <c r="P38" s="7">
        <f>664477941704.7*13901</f>
        <v>9236907867637034</v>
      </c>
      <c r="Q38" s="7">
        <f>553179836939.709*13901</f>
        <v>7689752913298895</v>
      </c>
      <c r="R38" s="22">
        <v>15.6713884</v>
      </c>
      <c r="S38" s="2">
        <f>376901649222.451*13901</f>
        <v>5239309825841291</v>
      </c>
    </row>
    <row r="39" spans="1:19" x14ac:dyDescent="0.25">
      <c r="A39" s="1"/>
      <c r="B39" s="1">
        <v>2020</v>
      </c>
      <c r="C39" s="10">
        <v>80732866659.821396</v>
      </c>
      <c r="D39" s="5">
        <v>-2.4385905692854664</v>
      </c>
      <c r="E39" s="9">
        <v>61466.803676358002</v>
      </c>
      <c r="F39" s="9">
        <v>634513916369.87195</v>
      </c>
      <c r="G39" s="11">
        <v>524705923281.30902</v>
      </c>
      <c r="H39" s="22">
        <v>15.1308662</v>
      </c>
      <c r="I39" s="12">
        <v>349488382610.66199</v>
      </c>
      <c r="K39" s="1"/>
      <c r="L39" s="1">
        <v>2020</v>
      </c>
      <c r="M39" s="8">
        <f>80732866659.8214*14105</f>
        <v>1138737084236780.8</v>
      </c>
      <c r="N39" s="5">
        <v>-2.4385905692854664</v>
      </c>
      <c r="O39" s="7">
        <f>61466.803676358*14105</f>
        <v>866989265.85502958</v>
      </c>
      <c r="P39" s="7">
        <f>634513916369.872*14105</f>
        <v>8949818790397044</v>
      </c>
      <c r="Q39" s="7">
        <f>524705923281.309*14105</f>
        <v>7400977047882864</v>
      </c>
      <c r="R39" s="22">
        <v>15.1308662</v>
      </c>
      <c r="S39" s="2">
        <f>349488382610.662*14105</f>
        <v>4929533636723387</v>
      </c>
    </row>
    <row r="40" spans="1:19" x14ac:dyDescent="0.25">
      <c r="A40" s="1"/>
      <c r="B40" s="1">
        <v>2021</v>
      </c>
      <c r="C40" s="10">
        <v>137269287548.537</v>
      </c>
      <c r="D40" s="5">
        <v>10.263766709231774</v>
      </c>
      <c r="E40" s="9">
        <v>79601.412962243296</v>
      </c>
      <c r="F40" s="9">
        <v>794469896530.13794</v>
      </c>
      <c r="G40" s="11">
        <v>637164817120.87195</v>
      </c>
      <c r="H40" s="22">
        <v>14.677115300000001</v>
      </c>
      <c r="I40" s="12">
        <v>434111559282.849</v>
      </c>
      <c r="K40" s="1"/>
      <c r="L40" s="1">
        <v>2021</v>
      </c>
      <c r="M40" s="8">
        <f>137269287548.537*14269</f>
        <v>1958695464030074.5</v>
      </c>
      <c r="N40" s="5">
        <v>10.263766709231774</v>
      </c>
      <c r="O40" s="7">
        <f>79601.4129622433*14269</f>
        <v>1135832561.5582495</v>
      </c>
      <c r="P40" s="7">
        <f>794469896530.138*14269</f>
        <v>1.1336290953588538E+16</v>
      </c>
      <c r="Q40" s="7">
        <f>637164817120.872*14269</f>
        <v>9091704775497722</v>
      </c>
      <c r="R40" s="22">
        <v>14.677115300000001</v>
      </c>
      <c r="S40" s="2">
        <f>434111559282.849*14269</f>
        <v>6194337839406972</v>
      </c>
    </row>
    <row r="41" spans="1:19" x14ac:dyDescent="0.25">
      <c r="A41" s="1"/>
      <c r="B41" s="1">
        <v>2022</v>
      </c>
      <c r="C41" s="10">
        <v>148763733075.435</v>
      </c>
      <c r="D41" s="5">
        <v>13.478138011365459</v>
      </c>
      <c r="E41" s="9">
        <v>88428.702422623202</v>
      </c>
      <c r="F41" s="9">
        <v>925951516936.28699</v>
      </c>
      <c r="G41" s="11">
        <v>733875838037.75696</v>
      </c>
      <c r="H41" s="22">
        <v>13.808518100000001</v>
      </c>
      <c r="I41" s="12">
        <v>498474540987.78003</v>
      </c>
      <c r="K41" s="1"/>
      <c r="L41" s="1">
        <v>2022</v>
      </c>
      <c r="M41" s="8">
        <f>148763733075.435*15731</f>
        <v>2340202285009668</v>
      </c>
      <c r="N41" s="5">
        <v>13.478138011365459</v>
      </c>
      <c r="O41" s="7">
        <f>88428.7024226232*15731</f>
        <v>1391071917.8102856</v>
      </c>
      <c r="P41" s="7">
        <f>925951516936.287*15731</f>
        <v>1.456614331292473E+16</v>
      </c>
      <c r="Q41" s="7">
        <f>733875838037.757*15371</f>
        <v>1.1280405506478362E+16</v>
      </c>
      <c r="R41" s="22">
        <v>13.808518100000001</v>
      </c>
      <c r="S41" s="2">
        <f>498474540987.78*15731</f>
        <v>7841503004278768</v>
      </c>
    </row>
    <row r="42" spans="1:19" x14ac:dyDescent="0.25">
      <c r="A42" s="1" t="s">
        <v>14</v>
      </c>
      <c r="B42" s="1">
        <v>2015</v>
      </c>
      <c r="C42" s="9">
        <v>42995500</v>
      </c>
      <c r="D42" s="5">
        <v>7.202726567203527</v>
      </c>
      <c r="E42" s="33">
        <v>1319.59297370991</v>
      </c>
      <c r="F42" s="9">
        <v>48508500</v>
      </c>
      <c r="G42" s="11">
        <v>906884200</v>
      </c>
      <c r="H42" s="22">
        <v>13.745361000000001</v>
      </c>
      <c r="I42" s="12">
        <v>1590282400</v>
      </c>
      <c r="K42" s="1" t="s">
        <v>14</v>
      </c>
      <c r="L42" s="1">
        <v>2015</v>
      </c>
      <c r="M42" s="4">
        <f>42995500*13795</f>
        <v>593122922500</v>
      </c>
      <c r="N42" s="5">
        <v>7.202726567203527</v>
      </c>
      <c r="O42" s="6">
        <f>1319.59297370991*13548</f>
        <v>17877845.607821859</v>
      </c>
      <c r="P42" s="7">
        <f>48508500*13548</f>
        <v>657193158000</v>
      </c>
      <c r="Q42" s="7">
        <f>906884200*13548</f>
        <v>12286467141600</v>
      </c>
      <c r="R42" s="22">
        <v>13.745361000000001</v>
      </c>
      <c r="S42" s="2">
        <f>1590282400*13795</f>
        <v>21937945708000</v>
      </c>
    </row>
    <row r="43" spans="1:19" x14ac:dyDescent="0.25">
      <c r="A43" s="1"/>
      <c r="B43" s="1">
        <v>2016</v>
      </c>
      <c r="C43" s="9">
        <v>5478700</v>
      </c>
      <c r="D43" s="5">
        <v>0.14136707325886277</v>
      </c>
      <c r="E43" s="33">
        <v>1335.54390089814</v>
      </c>
      <c r="F43" s="9">
        <v>51780000</v>
      </c>
      <c r="G43" s="11">
        <v>937594400</v>
      </c>
      <c r="H43" s="22">
        <v>14.9526006</v>
      </c>
      <c r="I43" s="12">
        <v>1640464600</v>
      </c>
      <c r="K43" s="1"/>
      <c r="L43" s="1">
        <v>2016</v>
      </c>
      <c r="M43" s="4">
        <f>5478700*13436</f>
        <v>73611813200</v>
      </c>
      <c r="N43" s="5">
        <v>0.14136707325886277</v>
      </c>
      <c r="O43" s="6">
        <f>1335.54390089814*14481</f>
        <v>19340011.228905965</v>
      </c>
      <c r="P43" s="7">
        <f>51780000*14481</f>
        <v>749826180000</v>
      </c>
      <c r="Q43" s="7">
        <f>937594400*14481</f>
        <v>13577304506400</v>
      </c>
      <c r="R43" s="22">
        <v>14.9526006</v>
      </c>
      <c r="S43" s="2">
        <f>1640464600*13436</f>
        <v>22041282365600</v>
      </c>
    </row>
    <row r="44" spans="1:19" x14ac:dyDescent="0.25">
      <c r="A44" s="1"/>
      <c r="B44" s="1">
        <v>2017</v>
      </c>
      <c r="C44" s="10">
        <v>6715937.4671480004</v>
      </c>
      <c r="D44" s="5">
        <v>-0.21279945542860901</v>
      </c>
      <c r="E44" s="9">
        <v>1266.1776795294099</v>
      </c>
      <c r="F44" s="9">
        <v>38179900</v>
      </c>
      <c r="G44" s="11">
        <v>891109600</v>
      </c>
      <c r="H44" s="22">
        <v>13.5639974</v>
      </c>
      <c r="I44" s="12">
        <v>1584878400</v>
      </c>
      <c r="K44" s="1"/>
      <c r="L44" s="1">
        <v>2017</v>
      </c>
      <c r="M44" s="8">
        <f>6715937.467148*13548</f>
        <v>90987520804.921112</v>
      </c>
      <c r="N44" s="5">
        <v>-0.21279945542860901</v>
      </c>
      <c r="O44" s="7">
        <f xml:space="preserve"> 1266.17767952941 * 13548</f>
        <v>17154175.202264447</v>
      </c>
      <c r="P44" s="7">
        <f>38179900*13548</f>
        <v>517261285200</v>
      </c>
      <c r="Q44" s="7">
        <f>891109600*13548</f>
        <v>12072752860800</v>
      </c>
      <c r="R44" s="22">
        <v>13.5639974</v>
      </c>
      <c r="S44" s="2">
        <f>1584878400*13548</f>
        <v>21471932563200</v>
      </c>
    </row>
    <row r="45" spans="1:19" x14ac:dyDescent="0.25">
      <c r="A45" s="1"/>
      <c r="B45" s="1">
        <v>2018</v>
      </c>
      <c r="C45" s="10">
        <v>47925664.570816003</v>
      </c>
      <c r="D45" s="5">
        <v>-1.3626949934396748</v>
      </c>
      <c r="E45" s="9">
        <v>1219.46598597604</v>
      </c>
      <c r="F45" s="9">
        <v>45614300</v>
      </c>
      <c r="G45" s="11">
        <v>962964800</v>
      </c>
      <c r="H45" s="22">
        <v>12.1049855</v>
      </c>
      <c r="I45" s="12">
        <v>1555988600</v>
      </c>
      <c r="K45" s="1"/>
      <c r="L45" s="1">
        <v>2018</v>
      </c>
      <c r="M45" s="8">
        <f>47925664.570816*14481</f>
        <v>694011548649.98657</v>
      </c>
      <c r="N45" s="5">
        <v>-1.3626949934396748</v>
      </c>
      <c r="O45" s="7">
        <f>1219.46598597604*14481</f>
        <v>17659086.942919035</v>
      </c>
      <c r="P45" s="7">
        <f>45614300*14481</f>
        <v>660540678300</v>
      </c>
      <c r="Q45" s="7">
        <f>962964800*14481</f>
        <v>13944693268800</v>
      </c>
      <c r="R45" s="22">
        <v>12.1049855</v>
      </c>
      <c r="S45" s="2">
        <f>1555988600*14481</f>
        <v>22532270916600</v>
      </c>
    </row>
    <row r="46" spans="1:19" x14ac:dyDescent="0.25">
      <c r="A46" s="1"/>
      <c r="B46" s="1">
        <v>2019</v>
      </c>
      <c r="C46" s="10">
        <v>-238994863.05971199</v>
      </c>
      <c r="D46" s="5">
        <v>5.1642834586998845</v>
      </c>
      <c r="E46" s="9">
        <v>1562.36458881813</v>
      </c>
      <c r="F46" s="9">
        <v>431191700</v>
      </c>
      <c r="G46" s="11">
        <v>1004078400</v>
      </c>
      <c r="H46" s="22">
        <v>14.094297299999999</v>
      </c>
      <c r="I46" s="12">
        <v>2032550400</v>
      </c>
      <c r="K46" s="1"/>
      <c r="L46" s="1">
        <v>2019</v>
      </c>
      <c r="M46" s="8">
        <f>-238994863.059712*13901</f>
        <v>-3322267591393.0566</v>
      </c>
      <c r="N46" s="5">
        <v>5.1642834586998845</v>
      </c>
      <c r="O46" s="7">
        <f>1562.36458881813*13901</f>
        <v>21718430.149160825</v>
      </c>
      <c r="P46" s="7">
        <f>431191700*13901</f>
        <v>5993995821700</v>
      </c>
      <c r="Q46" s="7">
        <f>1004078400*13901</f>
        <v>13957693838400</v>
      </c>
      <c r="R46" s="22">
        <v>14.094297299999999</v>
      </c>
      <c r="S46" s="2">
        <f>2032550400*13901</f>
        <v>28254483110400</v>
      </c>
    </row>
    <row r="47" spans="1:19" x14ac:dyDescent="0.25">
      <c r="A47" s="1"/>
      <c r="B47" s="1">
        <v>2020</v>
      </c>
      <c r="C47" s="10">
        <v>-712696166.42672002</v>
      </c>
      <c r="D47" s="5">
        <v>-19.226653104900237</v>
      </c>
      <c r="E47" s="9">
        <v>1630.86935439232</v>
      </c>
      <c r="F47" s="9">
        <v>792950600</v>
      </c>
      <c r="G47" s="11">
        <v>1039875900</v>
      </c>
      <c r="H47" s="22">
        <v>15.117630699999999</v>
      </c>
      <c r="I47" s="12">
        <v>2162619200</v>
      </c>
      <c r="K47" s="1"/>
      <c r="L47" s="1">
        <v>2020</v>
      </c>
      <c r="M47" s="8">
        <f>-712696166.42672*14105</f>
        <v>-10052579427448.887</v>
      </c>
      <c r="N47" s="5">
        <v>-19.226653104900237</v>
      </c>
      <c r="O47" s="7">
        <f>1630.86935439232*14105</f>
        <v>23003412.243703675</v>
      </c>
      <c r="P47" s="7">
        <f>792950600*14105</f>
        <v>11184568213000</v>
      </c>
      <c r="Q47" s="7">
        <f>1039875900*14105</f>
        <v>14667449569500</v>
      </c>
      <c r="R47" s="22">
        <v>15.117630699999999</v>
      </c>
      <c r="S47" s="2">
        <f>2162619200*14105</f>
        <v>30503743816000</v>
      </c>
    </row>
    <row r="48" spans="1:19" x14ac:dyDescent="0.25">
      <c r="A48" s="1"/>
      <c r="B48" s="1">
        <v>2021</v>
      </c>
      <c r="C48" s="10">
        <v>-419035233.174685</v>
      </c>
      <c r="D48" s="5">
        <v>59.083849711071338</v>
      </c>
      <c r="E48" s="9">
        <v>2684.8270437340202</v>
      </c>
      <c r="F48" s="9">
        <v>2302354000</v>
      </c>
      <c r="G48" s="11">
        <v>1317729900</v>
      </c>
      <c r="H48" s="22">
        <v>13.130383</v>
      </c>
      <c r="I48" s="12">
        <v>3624889700</v>
      </c>
      <c r="K48" s="1"/>
      <c r="L48" s="1">
        <v>2021</v>
      </c>
      <c r="M48" s="8">
        <f>-419035233.174685*14269</f>
        <v>-5979213742169.5801</v>
      </c>
      <c r="N48" s="5">
        <v>59.083849711071338</v>
      </c>
      <c r="O48" s="7">
        <f>2684.82704373402*14269</f>
        <v>38309797.087040737</v>
      </c>
      <c r="P48" s="7">
        <f>2302354000*14269</f>
        <v>32852289226000</v>
      </c>
      <c r="Q48" s="7">
        <f>1317729900*14269</f>
        <v>18802687943100</v>
      </c>
      <c r="R48" s="22">
        <v>13.130383</v>
      </c>
      <c r="S48" s="2">
        <f>3624889700*14269</f>
        <v>51723551129300</v>
      </c>
    </row>
    <row r="49" spans="1:19" x14ac:dyDescent="0.25">
      <c r="A49" s="1"/>
      <c r="B49" s="1">
        <v>2022</v>
      </c>
      <c r="C49" s="10">
        <v>-395383447.11106402</v>
      </c>
      <c r="D49" s="5">
        <v>11.458526307118461</v>
      </c>
      <c r="E49" s="9">
        <v>2343.2452466415202</v>
      </c>
      <c r="F49" s="9">
        <v>1784365000</v>
      </c>
      <c r="G49" s="11">
        <v>1347926100</v>
      </c>
      <c r="H49" s="22">
        <v>13.204439199999999</v>
      </c>
      <c r="I49" s="12">
        <v>3208594000</v>
      </c>
      <c r="K49" s="1"/>
      <c r="L49" s="1">
        <v>2022</v>
      </c>
      <c r="M49" s="8">
        <f>-395383447.111064*15731</f>
        <v>-6219777006504.1484</v>
      </c>
      <c r="N49" s="5">
        <v>11.458526307118461</v>
      </c>
      <c r="O49" s="7">
        <f>2343.24524664152*15731</f>
        <v>36861590.974917755</v>
      </c>
      <c r="P49" s="7">
        <f>1784365000*15731</f>
        <v>28069845815000</v>
      </c>
      <c r="Q49" s="7">
        <f>1347926100*15731</f>
        <v>21204225479100</v>
      </c>
      <c r="R49" s="22">
        <v>13.204439199999999</v>
      </c>
      <c r="S49" s="2">
        <f>3208594000*15731</f>
        <v>50474392214000</v>
      </c>
    </row>
    <row r="50" spans="1:19" x14ac:dyDescent="0.25">
      <c r="A50" s="1"/>
      <c r="B50" s="34"/>
      <c r="C50" s="9"/>
      <c r="D50" s="5"/>
      <c r="E50" s="9"/>
      <c r="F50" s="9"/>
      <c r="G50" s="35"/>
      <c r="H50" s="22">
        <v>12.483299499999999</v>
      </c>
      <c r="I50" s="36"/>
      <c r="K50" s="1"/>
      <c r="L50" s="34"/>
      <c r="M50" s="4"/>
      <c r="N50" s="5"/>
      <c r="O50" s="7"/>
      <c r="P50" s="7"/>
      <c r="Q50" s="7"/>
      <c r="R50" s="22">
        <v>12.483299499999999</v>
      </c>
      <c r="S50" s="7"/>
    </row>
    <row r="51" spans="1:19" x14ac:dyDescent="0.25">
      <c r="A51" s="1"/>
      <c r="B51" s="34"/>
      <c r="C51" s="9"/>
      <c r="D51" s="5"/>
      <c r="E51" s="9"/>
      <c r="F51" s="9"/>
      <c r="G51" s="35"/>
      <c r="H51" s="22">
        <v>13.2995497</v>
      </c>
      <c r="I51" s="36"/>
      <c r="K51" s="1"/>
      <c r="L51" s="34"/>
      <c r="M51" s="4"/>
      <c r="N51" s="5"/>
      <c r="O51" s="7"/>
      <c r="P51" s="7"/>
      <c r="Q51" s="7"/>
      <c r="R51" s="22">
        <v>13.2995497</v>
      </c>
      <c r="S51" s="7"/>
    </row>
    <row r="52" spans="1:19" x14ac:dyDescent="0.25">
      <c r="A52" s="1"/>
      <c r="B52" s="34"/>
      <c r="C52" s="9"/>
      <c r="D52" s="5"/>
      <c r="E52" s="9"/>
      <c r="F52" s="9"/>
      <c r="G52" s="35"/>
      <c r="H52" s="22">
        <v>11.892240299999999</v>
      </c>
      <c r="I52" s="36"/>
      <c r="K52" s="1"/>
      <c r="L52" s="34"/>
      <c r="M52" s="4"/>
      <c r="N52" s="5"/>
      <c r="O52" s="7"/>
      <c r="P52" s="7"/>
      <c r="Q52" s="7"/>
      <c r="R52" s="22">
        <v>11.892240299999999</v>
      </c>
      <c r="S52" s="7"/>
    </row>
    <row r="53" spans="1:19" x14ac:dyDescent="0.25">
      <c r="A53" s="1"/>
      <c r="B53" s="34"/>
      <c r="C53" s="9"/>
      <c r="D53" s="5"/>
      <c r="E53" s="9"/>
      <c r="F53" s="9"/>
      <c r="G53" s="35"/>
      <c r="H53" s="22">
        <v>10.9714385</v>
      </c>
      <c r="I53" s="36"/>
      <c r="K53" s="1"/>
      <c r="L53" s="34"/>
      <c r="M53" s="4"/>
      <c r="N53" s="5"/>
      <c r="O53" s="7"/>
      <c r="P53" s="7"/>
      <c r="Q53" s="7"/>
      <c r="R53" s="22">
        <v>10.9714385</v>
      </c>
      <c r="S53" s="7"/>
    </row>
    <row r="54" spans="1:19" x14ac:dyDescent="0.25">
      <c r="A54" s="1"/>
      <c r="B54" s="34"/>
      <c r="C54" s="9"/>
      <c r="D54" s="5"/>
      <c r="E54" s="9"/>
      <c r="F54" s="9"/>
      <c r="G54" s="35"/>
      <c r="H54" s="22">
        <v>19.237851599999999</v>
      </c>
      <c r="I54" s="36"/>
      <c r="K54" s="1"/>
      <c r="L54" s="34"/>
      <c r="M54" s="4"/>
      <c r="N54" s="5"/>
      <c r="O54" s="7"/>
      <c r="P54" s="7"/>
      <c r="Q54" s="7"/>
      <c r="R54" s="22">
        <v>19.237851599999999</v>
      </c>
      <c r="S54" s="7"/>
    </row>
    <row r="55" spans="1:19" x14ac:dyDescent="0.25">
      <c r="A55" s="1"/>
      <c r="B55" s="34"/>
      <c r="C55" s="9"/>
      <c r="D55" s="5"/>
      <c r="E55" s="9"/>
      <c r="F55" s="9"/>
      <c r="G55" s="35"/>
      <c r="H55" s="22">
        <v>18.711221599999998</v>
      </c>
      <c r="I55" s="36"/>
      <c r="K55" s="1"/>
      <c r="L55" s="34"/>
      <c r="M55" s="4"/>
      <c r="N55" s="5"/>
      <c r="O55" s="7"/>
      <c r="P55" s="7"/>
      <c r="Q55" s="7"/>
      <c r="R55" s="22">
        <v>18.711221599999998</v>
      </c>
      <c r="S55" s="7"/>
    </row>
    <row r="56" spans="1:19" x14ac:dyDescent="0.25">
      <c r="A56" s="1"/>
      <c r="B56" s="34"/>
      <c r="C56" s="9"/>
      <c r="D56" s="5"/>
      <c r="E56" s="9"/>
      <c r="F56" s="9"/>
      <c r="G56" s="35"/>
      <c r="H56" s="22">
        <v>18.813881899999998</v>
      </c>
      <c r="I56" s="36"/>
      <c r="K56" s="1"/>
      <c r="L56" s="34"/>
      <c r="M56" s="4"/>
      <c r="N56" s="5"/>
      <c r="O56" s="7"/>
      <c r="P56" s="7"/>
      <c r="Q56" s="7"/>
      <c r="R56" s="22">
        <v>18.813881899999998</v>
      </c>
      <c r="S56" s="7"/>
    </row>
    <row r="57" spans="1:19" x14ac:dyDescent="0.25">
      <c r="A57" s="1"/>
      <c r="B57" s="34"/>
      <c r="C57" s="9"/>
      <c r="D57" s="5"/>
      <c r="E57" s="9"/>
      <c r="F57" s="9"/>
      <c r="G57" s="35"/>
      <c r="H57" s="22">
        <v>18.921020200000001</v>
      </c>
      <c r="I57" s="36"/>
      <c r="K57" s="1"/>
      <c r="L57" s="34"/>
      <c r="M57" s="4"/>
      <c r="N57" s="5"/>
      <c r="O57" s="7"/>
      <c r="P57" s="7"/>
      <c r="Q57" s="7"/>
      <c r="R57" s="22">
        <v>18.921020200000001</v>
      </c>
      <c r="S57" s="7"/>
    </row>
    <row r="58" spans="1:19" x14ac:dyDescent="0.25">
      <c r="A58" s="1"/>
      <c r="B58" s="34"/>
      <c r="C58" s="9"/>
      <c r="D58" s="5"/>
      <c r="E58" s="9"/>
      <c r="F58" s="9"/>
      <c r="G58" s="35"/>
      <c r="H58" s="22">
        <v>18.767498799999998</v>
      </c>
      <c r="I58" s="36"/>
      <c r="K58" s="1"/>
      <c r="L58" s="34"/>
      <c r="M58" s="4"/>
      <c r="N58" s="5"/>
      <c r="O58" s="7"/>
      <c r="P58" s="7"/>
      <c r="Q58" s="7"/>
      <c r="R58" s="22">
        <v>18.767498799999998</v>
      </c>
      <c r="S58" s="7"/>
    </row>
    <row r="59" spans="1:19" x14ac:dyDescent="0.25">
      <c r="A59" s="1"/>
      <c r="B59" s="34"/>
      <c r="C59" s="9"/>
      <c r="D59" s="5"/>
      <c r="E59" s="9"/>
      <c r="F59" s="9"/>
      <c r="G59" s="35"/>
      <c r="H59" s="22">
        <v>18.114683100000001</v>
      </c>
      <c r="I59" s="36"/>
      <c r="K59" s="1"/>
      <c r="L59" s="34"/>
      <c r="M59" s="4"/>
      <c r="N59" s="5"/>
      <c r="O59" s="7"/>
      <c r="P59" s="7"/>
      <c r="Q59" s="7"/>
      <c r="R59" s="22">
        <v>18.114683100000001</v>
      </c>
      <c r="S59" s="7"/>
    </row>
    <row r="60" spans="1:19" x14ac:dyDescent="0.25">
      <c r="A60" s="1"/>
      <c r="B60" s="34"/>
      <c r="C60" s="9"/>
      <c r="D60" s="5"/>
      <c r="E60" s="9"/>
      <c r="F60" s="9"/>
      <c r="G60" s="35"/>
      <c r="H60" s="22">
        <v>19.857319700000001</v>
      </c>
      <c r="I60" s="36"/>
      <c r="K60" s="1"/>
      <c r="L60" s="34"/>
      <c r="M60" s="4"/>
      <c r="N60" s="5"/>
      <c r="O60" s="7"/>
      <c r="P60" s="7"/>
      <c r="Q60" s="7"/>
      <c r="R60" s="22">
        <v>19.857319700000001</v>
      </c>
      <c r="S60" s="7"/>
    </row>
    <row r="61" spans="1:19" x14ac:dyDescent="0.25">
      <c r="A61" s="1"/>
      <c r="B61" s="34"/>
      <c r="C61" s="9"/>
      <c r="D61" s="5"/>
      <c r="E61" s="9"/>
      <c r="F61" s="9"/>
      <c r="G61" s="35"/>
      <c r="H61" s="27">
        <v>19.4036227</v>
      </c>
      <c r="I61" s="36"/>
      <c r="K61" s="1"/>
      <c r="L61" s="34"/>
      <c r="M61" s="4"/>
      <c r="N61" s="5"/>
      <c r="O61" s="7"/>
      <c r="P61" s="7"/>
      <c r="Q61" s="7"/>
      <c r="R61" s="27">
        <v>19.4036227</v>
      </c>
      <c r="S61" s="7"/>
    </row>
    <row r="62" spans="1:19" x14ac:dyDescent="0.25">
      <c r="M62" s="37" t="s">
        <v>22</v>
      </c>
      <c r="N62" s="38"/>
    </row>
    <row r="63" spans="1:19" x14ac:dyDescent="0.25">
      <c r="M63" s="14">
        <v>2015</v>
      </c>
      <c r="N63" s="17" t="s">
        <v>23</v>
      </c>
    </row>
    <row r="64" spans="1:19" x14ac:dyDescent="0.25">
      <c r="M64" s="14">
        <v>2016</v>
      </c>
      <c r="N64" s="17" t="s">
        <v>24</v>
      </c>
    </row>
    <row r="65" spans="13:14" x14ac:dyDescent="0.25">
      <c r="M65" s="15">
        <v>2017</v>
      </c>
      <c r="N65" s="17" t="s">
        <v>25</v>
      </c>
    </row>
    <row r="66" spans="13:14" x14ac:dyDescent="0.25">
      <c r="M66" s="15">
        <v>2018</v>
      </c>
      <c r="N66" s="17" t="s">
        <v>26</v>
      </c>
    </row>
    <row r="67" spans="13:14" x14ac:dyDescent="0.25">
      <c r="M67" s="15">
        <v>2019</v>
      </c>
      <c r="N67" s="17" t="s">
        <v>27</v>
      </c>
    </row>
    <row r="68" spans="13:14" x14ac:dyDescent="0.25">
      <c r="M68" s="15">
        <v>2020</v>
      </c>
      <c r="N68" s="17" t="s">
        <v>28</v>
      </c>
    </row>
    <row r="69" spans="13:14" x14ac:dyDescent="0.25">
      <c r="M69" s="15">
        <v>2021</v>
      </c>
      <c r="N69" s="17" t="s">
        <v>29</v>
      </c>
    </row>
    <row r="70" spans="13:14" x14ac:dyDescent="0.25">
      <c r="M70" s="16">
        <v>2022</v>
      </c>
      <c r="N70" s="18" t="s">
        <v>30</v>
      </c>
    </row>
  </sheetData>
  <sheetProtection algorithmName="SHA-512" hashValue="bmiJdboyhFgxozQ1gf2pVV05NUY25n6YHdfFqZFJcC4RCZss8WcnzU9qonJSjCTAghl/zQPM7VMfBb7JGpPOyg==" saltValue="xLP7J3SelMl/OiTUnxfBdA==" spinCount="100000" sheet="1" objects="1" scenarios="1"/>
  <mergeCells count="1">
    <mergeCell ref="M62:N62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528D9-75FB-4F27-B6CD-4F91D25856FF}">
  <dimension ref="A1:G49"/>
  <sheetViews>
    <sheetView tabSelected="1" topLeftCell="A28" workbookViewId="0">
      <selection activeCell="I36" sqref="I36"/>
    </sheetView>
  </sheetViews>
  <sheetFormatPr defaultRowHeight="15" x14ac:dyDescent="0.25"/>
  <cols>
    <col min="1" max="1" width="19.7109375" bestFit="1" customWidth="1"/>
    <col min="2" max="2" width="9.28515625" bestFit="1" customWidth="1"/>
    <col min="3" max="3" width="13.5703125" bestFit="1" customWidth="1"/>
    <col min="4" max="5" width="20.7109375" bestFit="1" customWidth="1"/>
    <col min="6" max="6" width="9.28515625" bestFit="1" customWidth="1"/>
    <col min="7" max="7" width="20.7109375" bestFit="1" customWidth="1"/>
  </cols>
  <sheetData>
    <row r="1" spans="1:7" x14ac:dyDescent="0.25">
      <c r="A1" s="18" t="s">
        <v>15</v>
      </c>
      <c r="B1" s="29" t="s">
        <v>16</v>
      </c>
      <c r="C1" s="30" t="s">
        <v>17</v>
      </c>
      <c r="D1" s="30" t="s">
        <v>18</v>
      </c>
      <c r="E1" s="30" t="s">
        <v>19</v>
      </c>
      <c r="F1" s="29" t="s">
        <v>20</v>
      </c>
      <c r="G1" s="31" t="s">
        <v>21</v>
      </c>
    </row>
    <row r="2" spans="1:7" x14ac:dyDescent="0.25">
      <c r="A2" s="21">
        <f>8927579182.16217*13795</f>
        <v>123155954817927.14</v>
      </c>
      <c r="B2" s="19">
        <v>3.9802426601396093</v>
      </c>
      <c r="C2" s="20">
        <f>3288.22269737572*13795</f>
        <v>45361032.11029806</v>
      </c>
      <c r="D2" s="19">
        <f>182158298808.695*13795</f>
        <v>2512873732065947.5</v>
      </c>
      <c r="E2" s="19">
        <f>178863652312.439*13795</f>
        <v>2467424083650096</v>
      </c>
      <c r="F2" s="22">
        <v>13.357518499999999</v>
      </c>
      <c r="G2" s="23">
        <f>860854232717.718*13795</f>
        <v>1.187548414034092E+16</v>
      </c>
    </row>
    <row r="3" spans="1:7" x14ac:dyDescent="0.25">
      <c r="A3" s="21">
        <f>3486184390.30069*13436</f>
        <v>46840373468080.07</v>
      </c>
      <c r="B3" s="19">
        <v>2.4389240868820679</v>
      </c>
      <c r="C3" s="20">
        <f>3521.46943456251*13436</f>
        <v>47314463.322781883</v>
      </c>
      <c r="D3" s="19">
        <f>177886012744.197*13436</f>
        <v>2390076467231031</v>
      </c>
      <c r="E3" s="19">
        <f>170835000829.6*13436</f>
        <v>2295339071146505.5</v>
      </c>
      <c r="F3" s="22">
        <v>13.933472</v>
      </c>
      <c r="G3" s="23">
        <f>931877364034.196*13436</f>
        <v>1.2520704263163458E+16</v>
      </c>
    </row>
    <row r="4" spans="1:7" x14ac:dyDescent="0.25">
      <c r="A4" s="24">
        <f>20510310832.4469*13548</f>
        <v>277873691157990.59</v>
      </c>
      <c r="B4" s="19">
        <v>4.2926781219952517</v>
      </c>
      <c r="C4" s="19">
        <f xml:space="preserve"> 3798.88326177649 * 13548</f>
        <v>51467270.430547886</v>
      </c>
      <c r="D4" s="19">
        <f xml:space="preserve"> 204924485910.841 * 13548</f>
        <v>2776316935120074</v>
      </c>
      <c r="E4" s="19">
        <f xml:space="preserve"> 194777319197.277 * 13548</f>
        <v>2638843120484709</v>
      </c>
      <c r="F4" s="22">
        <v>12.653576599999999</v>
      </c>
      <c r="G4" s="23">
        <f>1015618744168.08*13548</f>
        <v>1.3759602745989148E+16</v>
      </c>
    </row>
    <row r="5" spans="1:7" x14ac:dyDescent="0.25">
      <c r="A5" s="24">
        <f>18909826043.5105*14481</f>
        <v>273833190936075.56</v>
      </c>
      <c r="B5" s="19">
        <v>3.8183235694333462</v>
      </c>
      <c r="C5" s="19">
        <f xml:space="preserve"> 3860.95353077708 * 14481</f>
        <v>55910468.079182893</v>
      </c>
      <c r="D5" s="19">
        <f xml:space="preserve"> 218905647879.176*14481</f>
        <v>3169972686938347.5</v>
      </c>
      <c r="E5" s="19">
        <f xml:space="preserve"> 230045612377.312*14481</f>
        <v>3331290512835855</v>
      </c>
      <c r="F5" s="22">
        <v>11.059503100000001</v>
      </c>
      <c r="G5" s="23">
        <f>1042271532953.49*14481</f>
        <v>1.5093134068699488E+16</v>
      </c>
    </row>
    <row r="6" spans="1:7" x14ac:dyDescent="0.25">
      <c r="A6" s="24">
        <f>24993551748.0098*13901</f>
        <v>347435362849084.25</v>
      </c>
      <c r="B6" s="19">
        <v>1.5984884998414373</v>
      </c>
      <c r="C6" s="19">
        <f xml:space="preserve"> 4106.94856173421*13901</f>
        <v>57090691.956667252</v>
      </c>
      <c r="D6" s="19">
        <f xml:space="preserve"> 208057763665.869*13901</f>
        <v>2892210972719245</v>
      </c>
      <c r="E6" s="19">
        <f xml:space="preserve"> 213034646341.603*13901</f>
        <v>2961394618794623.5</v>
      </c>
      <c r="F6" s="22">
        <v>11.575537300000001</v>
      </c>
      <c r="G6" s="23">
        <f>1119099871385.79*13901</f>
        <v>1.5556607312133868E+16</v>
      </c>
    </row>
    <row r="7" spans="1:7" x14ac:dyDescent="0.25">
      <c r="A7" s="24">
        <f>19175077747.8077*14105</f>
        <v>270464471632827.63</v>
      </c>
      <c r="B7" s="19">
        <v>-0.40165143521899438</v>
      </c>
      <c r="C7" s="19">
        <f xml:space="preserve"> 3853.70288778903*14105</f>
        <v>54356479.232264265</v>
      </c>
      <c r="D7" s="19">
        <f xml:space="preserve"> 183546577019.641*14105</f>
        <v>2588924468862036</v>
      </c>
      <c r="E7" s="19">
        <f xml:space="preserve"> 165646843303.978 * 14105</f>
        <v>2336448724802609.5</v>
      </c>
      <c r="F7" s="22">
        <v>13.282976400000001</v>
      </c>
      <c r="G7" s="23">
        <f>1059054842711.55*14105</f>
        <v>1.4937968556446414E+16</v>
      </c>
    </row>
    <row r="8" spans="1:7" x14ac:dyDescent="0.25">
      <c r="A8" s="24">
        <f>21213080329.8583*14269</f>
        <v>302689443226748.06</v>
      </c>
      <c r="B8" s="19">
        <v>6.0039732213620738</v>
      </c>
      <c r="C8" s="19">
        <f xml:space="preserve"> 4287.17313989405 * 14269</f>
        <v>61173673.533148199</v>
      </c>
      <c r="D8" s="19">
        <f xml:space="preserve"> 254109508151.117*14269</f>
        <v>3625888571808288.5</v>
      </c>
      <c r="E8" s="19">
        <f xml:space="preserve"> 222923845053.027*14269</f>
        <v>3180900345061642.5</v>
      </c>
      <c r="F8" s="22">
        <v>11.8788401</v>
      </c>
      <c r="G8" s="23">
        <f>1186509691070.97*14269</f>
        <v>1.693030678189167E+16</v>
      </c>
    </row>
    <row r="9" spans="1:7" x14ac:dyDescent="0.25">
      <c r="A9" s="24">
        <f>24702029705.0926*15731</f>
        <v>388587629290811.69</v>
      </c>
      <c r="B9" s="19">
        <v>9.566686845253372</v>
      </c>
      <c r="C9" s="19">
        <f xml:space="preserve"> 4730.74548910499*15731</f>
        <v>74419357.289110601</v>
      </c>
      <c r="D9" s="19">
        <f xml:space="preserve"> 323223074349.606*15731</f>
        <v>5084622182593652</v>
      </c>
      <c r="E9" s="19">
        <f xml:space="preserve"> 276506804871.164*15731</f>
        <v>4349728547428281</v>
      </c>
      <c r="F9" s="22">
        <v>9.7458860999999999</v>
      </c>
      <c r="G9" s="23">
        <f>1319076267291.51*15731</f>
        <v>2.0750388760762744E+16</v>
      </c>
    </row>
    <row r="10" spans="1:7" x14ac:dyDescent="0.25">
      <c r="A10" s="21">
        <f>9857162111.82329*13795</f>
        <v>135979551332602.28</v>
      </c>
      <c r="B10" s="19">
        <v>1.2180557335533848</v>
      </c>
      <c r="C10" s="20">
        <f>9648.6797937523*13795</f>
        <v>133103537.75481299</v>
      </c>
      <c r="D10" s="19">
        <f>209287287856.543*13795</f>
        <v>2887118135981010.5</v>
      </c>
      <c r="E10" s="19">
        <f>186603344672.915*13795</f>
        <v>2574193139762862.5</v>
      </c>
      <c r="F10" s="22">
        <v>14.99274</v>
      </c>
      <c r="G10" s="23">
        <f>301355266964.947*13795</f>
        <v>4157195907781444</v>
      </c>
    </row>
    <row r="11" spans="1:7" x14ac:dyDescent="0.25">
      <c r="A11" s="21">
        <f>13470089920.807*13436</f>
        <v>180984128175962.84</v>
      </c>
      <c r="B11" s="19">
        <v>1.65825996642414</v>
      </c>
      <c r="C11" s="20">
        <f>9476.53409809923*13436</f>
        <v>127326712.14206125</v>
      </c>
      <c r="D11" s="19">
        <f>201165058574.724*13436</f>
        <v>2702853727009991.5</v>
      </c>
      <c r="E11" s="19">
        <f>181125866049.416*13436</f>
        <v>2433607136239953</v>
      </c>
      <c r="F11" s="22">
        <v>14.9818471</v>
      </c>
      <c r="G11" s="23">
        <f>301256033870.334*13436</f>
        <v>4047676071081807.5</v>
      </c>
    </row>
    <row r="12" spans="1:7" x14ac:dyDescent="0.25">
      <c r="A12" s="24">
        <f>9368469822.66146*13548</f>
        <v>126924029157417.47</v>
      </c>
      <c r="B12" s="19">
        <v>3.7789609430645328</v>
      </c>
      <c r="C12" s="19">
        <f xml:space="preserve"> 9862.54806612235 * 13548</f>
        <v>133617801.1998256</v>
      </c>
      <c r="D12" s="19">
        <f xml:space="preserve"> 223413837325.056*13548</f>
        <v>3026810668079858.5</v>
      </c>
      <c r="E12" s="19">
        <f xml:space="preserve"> 201496430249.828*13548</f>
        <v>2729873637024670</v>
      </c>
      <c r="F12" s="22">
        <v>14.683821099999999</v>
      </c>
      <c r="G12" s="23">
        <f>319109094160.343*13548</f>
        <v>4323290007684327</v>
      </c>
    </row>
    <row r="13" spans="1:7" x14ac:dyDescent="0.25">
      <c r="A13" s="24">
        <f>8304480741.65267*14481</f>
        <v>120257185619872.31</v>
      </c>
      <c r="B13" s="19">
        <v>0.62467467458664316</v>
      </c>
      <c r="C13" s="19">
        <f xml:space="preserve"> 10901.8019954421*14481</f>
        <v>157868994.69599706</v>
      </c>
      <c r="D13" s="19">
        <f xml:space="preserve"> 245967590635.246*14481</f>
        <v>3561856679988997.5</v>
      </c>
      <c r="E13" s="19">
        <f xml:space="preserve"> 221902484182.666 *14481</f>
        <v>3213369873449186</v>
      </c>
      <c r="F13" s="22">
        <v>14.063303700000001</v>
      </c>
      <c r="G13" s="23">
        <f>358788845712.53*14481</f>
        <v>5195621274763147</v>
      </c>
    </row>
    <row r="14" spans="1:7" x14ac:dyDescent="0.25">
      <c r="A14" s="24">
        <f>9154921685.03934*13901</f>
        <v>127262566343731.86</v>
      </c>
      <c r="B14" s="19">
        <v>7.1826909312136422E-2</v>
      </c>
      <c r="C14" s="19">
        <f xml:space="preserve"> 10920.191763972*13901</f>
        <v>151801585.71097475</v>
      </c>
      <c r="D14" s="19">
        <f xml:space="preserve"> 238379861290.486*13901</f>
        <v>3313718451799046</v>
      </c>
      <c r="E14" s="19">
        <f xml:space="preserve"> 210893037728.698*13901</f>
        <v>2931624117466631</v>
      </c>
      <c r="F14" s="22">
        <v>14.5124415</v>
      </c>
      <c r="G14" s="23">
        <f>365177721021.516*13901</f>
        <v>5076335499920094</v>
      </c>
    </row>
    <row r="15" spans="1:7" x14ac:dyDescent="0.25">
      <c r="A15" s="24">
        <f>4058769678.64231*14105</f>
        <v>57248946317249.781</v>
      </c>
      <c r="B15" s="19">
        <v>-0.818007729183023</v>
      </c>
      <c r="C15" s="19">
        <f xml:space="preserve"> 9957.52626697613*14105</f>
        <v>140450907.99569833</v>
      </c>
      <c r="D15" s="19">
        <f xml:space="preserve"> 207798540352.974*14105</f>
        <v>2930998411678698.5</v>
      </c>
      <c r="E15" s="19">
        <f xml:space="preserve"> 186310380061.102*14105</f>
        <v>2627907910761843.5</v>
      </c>
      <c r="F15" s="22">
        <v>15.107599499999999</v>
      </c>
      <c r="G15" s="23">
        <f>337456163961.211*14105</f>
        <v>4759819192672881</v>
      </c>
    </row>
    <row r="16" spans="1:7" x14ac:dyDescent="0.25">
      <c r="A16" s="24">
        <f>20245157326.8024*14269</f>
        <v>288878149896143.44</v>
      </c>
      <c r="B16" s="19">
        <v>5.6759384876411616</v>
      </c>
      <c r="C16" s="19">
        <f xml:space="preserve"> 10903.1116425938*14269</f>
        <v>155576500.02817094</v>
      </c>
      <c r="D16" s="19">
        <f xml:space="preserve"> 264015642139.891*14269</f>
        <v>3767239197694104.5</v>
      </c>
      <c r="E16" s="19">
        <f xml:space="preserve"> 236990564273.121*14269</f>
        <v>3381618361613163.5</v>
      </c>
      <c r="F16" s="22">
        <v>13.3428649</v>
      </c>
      <c r="G16" s="23">
        <f>373784823672.946*14269</f>
        <v>5333535648989266</v>
      </c>
    </row>
    <row r="17" spans="1:7" x14ac:dyDescent="0.25">
      <c r="A17" s="24">
        <f>15027992710.6145*15731</f>
        <v>236405353330676.69</v>
      </c>
      <c r="B17" s="19">
        <v>6.4034851182009618</v>
      </c>
      <c r="C17" s="19">
        <f xml:space="preserve"> 11748.0919307944*15731</f>
        <v>184809234.16332671</v>
      </c>
      <c r="D17" s="19">
        <f xml:space="preserve"> 313245857998.72*15731</f>
        <v>4927670592177864</v>
      </c>
      <c r="E17" s="19">
        <f xml:space="preserve"> 283918784805.433*15731</f>
        <v>4466326403774266.5</v>
      </c>
      <c r="F17" s="22">
        <v>11.829547399999999</v>
      </c>
      <c r="G17" s="23">
        <f>407605841348.235*15731</f>
        <v>6412047490249085</v>
      </c>
    </row>
    <row r="18" spans="1:7" x14ac:dyDescent="0.25">
      <c r="A18" s="21">
        <f>8927579182.16217*13795</f>
        <v>123155954817927.14</v>
      </c>
      <c r="B18" s="19">
        <v>0.72211357341251414</v>
      </c>
      <c r="C18" s="20">
        <f>5688.85335397884*13795</f>
        <v>78477732.018138096</v>
      </c>
      <c r="D18" s="19">
        <f>271423493717.844*13795</f>
        <v>3744287095837658</v>
      </c>
      <c r="E18" s="19">
        <f>229553374316.892*13795</f>
        <v>3166688798701525</v>
      </c>
      <c r="F18" s="22">
        <v>13.530314799999999</v>
      </c>
      <c r="G18" s="23">
        <f>401296238228.084*13795</f>
        <v>5535881606356419</v>
      </c>
    </row>
    <row r="19" spans="1:7" x14ac:dyDescent="0.25">
      <c r="A19" s="21">
        <f>3486184390.30069*13436</f>
        <v>46840373468080.07</v>
      </c>
      <c r="B19" s="19">
        <v>2.6361676199892798</v>
      </c>
      <c r="C19" s="20">
        <f>5833.57715617098*13436</f>
        <v>78379942.670313284</v>
      </c>
      <c r="D19" s="19">
        <f>277248464807.286*13436</f>
        <v>3725110373150695</v>
      </c>
      <c r="E19" s="19">
        <f>221168950937.551*13436</f>
        <v>2971626024796935</v>
      </c>
      <c r="F19" s="22">
        <v>14.3219853</v>
      </c>
      <c r="G19" s="23">
        <f>413366349747.508*13436</f>
        <v>5553990275207517</v>
      </c>
    </row>
    <row r="20" spans="1:7" x14ac:dyDescent="0.25">
      <c r="A20" s="24">
        <f>8285169819.69135*13548</f>
        <v>112247480717178.41</v>
      </c>
      <c r="B20" s="19">
        <v>1.8999449899776977</v>
      </c>
      <c r="C20" s="19">
        <f xml:space="preserve"> 6413.09182530343 * 13548</f>
        <v>86884568.049210861</v>
      </c>
      <c r="D20" s="19">
        <f xml:space="preserve"> 304266013738.262*13548</f>
        <v>4122195954125974</v>
      </c>
      <c r="E20" s="19">
        <f xml:space="preserve"> 247430252336.997*13548</f>
        <v>3352185058661635.5</v>
      </c>
      <c r="F20" s="22">
        <v>13.4529248</v>
      </c>
      <c r="G20" s="23">
        <f>456356813536.764*13548</f>
        <v>6182722109796078</v>
      </c>
    </row>
    <row r="21" spans="1:7" x14ac:dyDescent="0.25">
      <c r="A21" s="24">
        <f>13747219811.1792*14481</f>
        <v>199073490085685.97</v>
      </c>
      <c r="B21" s="19">
        <v>1.4285861642072746</v>
      </c>
      <c r="C21" s="19">
        <f xml:space="preserve"> 7099.77650081458*14481</f>
        <v>102811863.50829592</v>
      </c>
      <c r="D21" s="19">
        <f xml:space="preserve"> 328569784686.743*14481</f>
        <v>4758019052048725</v>
      </c>
      <c r="E21" s="19">
        <f xml:space="preserve"> 283801450351.972*14481</f>
        <v>4109728802546906.5</v>
      </c>
      <c r="F21" s="22">
        <v>11.824006900000001</v>
      </c>
      <c r="G21" s="23">
        <f>506754208404.485*14481</f>
        <v>7338307691905347</v>
      </c>
    </row>
    <row r="22" spans="1:7" x14ac:dyDescent="0.25">
      <c r="A22" s="24">
        <f>5534140214.60468*13901</f>
        <v>76930083123219.656</v>
      </c>
      <c r="B22" s="19">
        <v>1.0144234064249673</v>
      </c>
      <c r="C22" s="19">
        <f xml:space="preserve"> 7605.69657797759*13901</f>
        <v>105726788.13046648</v>
      </c>
      <c r="D22" s="19">
        <f xml:space="preserve"> 323768892197.357*13901</f>
        <v>4500711370435459.5</v>
      </c>
      <c r="E22" s="19">
        <f xml:space="preserve"> 272916501194.971*13901</f>
        <v>3793812283111292</v>
      </c>
      <c r="F22" s="22">
        <v>12.8041585</v>
      </c>
      <c r="G22" s="23">
        <f>543976691793.886*13901</f>
        <v>7561819992626809</v>
      </c>
    </row>
    <row r="23" spans="1:7" x14ac:dyDescent="0.25">
      <c r="A23" s="24">
        <f>-4293910676.95961*14105</f>
        <v>-60565610098515.297</v>
      </c>
      <c r="B23" s="19">
        <v>-1.2987750574158099</v>
      </c>
      <c r="C23" s="19">
        <f xml:space="preserve"> 6985.64393892574*14105</f>
        <v>98532507.758547559</v>
      </c>
      <c r="D23" s="19">
        <f xml:space="preserve"> 257709985018.377*14105</f>
        <v>3634999338684208</v>
      </c>
      <c r="E23" s="19">
        <f xml:space="preserve"> 231745471360.936*14105</f>
        <v>3268769873546002.5</v>
      </c>
      <c r="F23" s="22">
        <v>13.7666317</v>
      </c>
      <c r="G23" s="23">
        <f>500461898480.246*14105</f>
        <v>7059015078063869</v>
      </c>
    </row>
    <row r="24" spans="1:7" x14ac:dyDescent="0.25">
      <c r="A24" s="24">
        <f>15389597696.2421*14269</f>
        <v>219594169527678.53</v>
      </c>
      <c r="B24" s="19">
        <v>1.7710722634539593</v>
      </c>
      <c r="C24" s="19">
        <f xml:space="preserve"> 7058.0694998852*14269</f>
        <v>100711593.69386192</v>
      </c>
      <c r="D24" s="19">
        <f xml:space="preserve"> 296424506130.06*14269</f>
        <v>4229681277969826</v>
      </c>
      <c r="E24" s="19">
        <f xml:space="preserve"> 296627151192.261*14269</f>
        <v>4232572820362372</v>
      </c>
      <c r="F24" s="22">
        <v>10.768094400000001</v>
      </c>
      <c r="G24" s="23">
        <f>506256494297.34*14269</f>
        <v>7223773917128745</v>
      </c>
    </row>
    <row r="25" spans="1:7" x14ac:dyDescent="0.25">
      <c r="A25" s="24">
        <f>11854822037.8763*15731</f>
        <v>186488205477832.09</v>
      </c>
      <c r="B25" s="19">
        <v>4.7669957873565352</v>
      </c>
      <c r="C25" s="19">
        <f xml:space="preserve"> 6909.35997481451*15731</f>
        <v>108691141.76380706</v>
      </c>
      <c r="D25" s="19">
        <f>323968095968.786*15731</f>
        <v>5096342117684973</v>
      </c>
      <c r="E25" s="19">
        <f>334528199102.147*15731</f>
        <v>5262463100075874</v>
      </c>
      <c r="F25" s="22">
        <v>8.8551976999999997</v>
      </c>
      <c r="G25" s="23">
        <f>495645210972.751*15731</f>
        <v>7796994813812346</v>
      </c>
    </row>
    <row r="26" spans="1:7" x14ac:dyDescent="0.25">
      <c r="A26" s="21">
        <f>5639155961.87389*13795</f>
        <v>77792156494050.313</v>
      </c>
      <c r="B26" s="19">
        <v>-0.71968278932669705</v>
      </c>
      <c r="C26" s="20">
        <f>2909.85818014474*13795</f>
        <v>40141493.595096685</v>
      </c>
      <c r="D26" s="19">
        <f>83377968054.3017*13795</f>
        <v>1150199069309092</v>
      </c>
      <c r="E26" s="19">
        <f>97858999139.3944*13795</f>
        <v>1349964893127945.8</v>
      </c>
      <c r="F26" s="22">
        <v>15.6713884</v>
      </c>
      <c r="G26" s="23">
        <f>306445871246.718*13795</f>
        <v>4227420793848475</v>
      </c>
    </row>
    <row r="27" spans="1:7" x14ac:dyDescent="0.25">
      <c r="A27" s="21">
        <f>8279548274.88501*13436</f>
        <v>111244010621354.98</v>
      </c>
      <c r="B27" s="19">
        <v>1.2803117382458993</v>
      </c>
      <c r="C27" s="20">
        <f>2985.19564020101*13436</f>
        <v>40109088.621740773</v>
      </c>
      <c r="D27" s="19">
        <f>84987391167.9967*13436</f>
        <v>1141890587733203.8</v>
      </c>
      <c r="E27" s="19">
        <f>111847835761.901*13436</f>
        <v>1502787521296901.8</v>
      </c>
      <c r="F27" s="22">
        <v>15.1308662</v>
      </c>
      <c r="G27" s="23">
        <f>318627003012.52*13436</f>
        <v>4281072412476219</v>
      </c>
    </row>
    <row r="28" spans="1:7" x14ac:dyDescent="0.25">
      <c r="A28" s="24">
        <f>10256442398.8834*13548</f>
        <v>138954281620072.3</v>
      </c>
      <c r="B28" s="19">
        <v>2.3202599468014569</v>
      </c>
      <c r="C28" s="19">
        <f xml:space="preserve"> 3038.12124955619 * 13548</f>
        <v>41160466.688987263</v>
      </c>
      <c r="D28" s="19">
        <f>97073582741.5119*13548</f>
        <v>1315152898982003.3</v>
      </c>
      <c r="E28" s="19">
        <f>126846380455.649*13548</f>
        <v>1718514762413132.8</v>
      </c>
      <c r="F28" s="22">
        <v>14.677115300000001</v>
      </c>
      <c r="G28" s="23">
        <f>328480736798.792*13548</f>
        <v>4450257022150034</v>
      </c>
    </row>
    <row r="29" spans="1:7" x14ac:dyDescent="0.25">
      <c r="A29" s="24">
        <f>9948598823.96867*14481</f>
        <v>144065659569890.31</v>
      </c>
      <c r="B29" s="19">
        <v>3.7406538308698742</v>
      </c>
      <c r="C29" s="19">
        <f>3168.51036606257*14481</f>
        <v>45883198.610952079</v>
      </c>
      <c r="D29" s="19">
        <f>104793441904.255*14481</f>
        <v>1517513832215516.8</v>
      </c>
      <c r="E29" s="19">
        <f>145499457397.948*14481</f>
        <v>2106977642579685</v>
      </c>
      <c r="F29" s="22">
        <v>13.808518100000001</v>
      </c>
      <c r="G29" s="23">
        <f>346841896583.515*14481</f>
        <v>5022617504425881</v>
      </c>
    </row>
    <row r="30" spans="1:7" x14ac:dyDescent="0.25">
      <c r="A30" s="24">
        <f>8671365873.65689*13901</f>
        <v>120540657009704.44</v>
      </c>
      <c r="B30" s="19">
        <v>0.69707630104534246</v>
      </c>
      <c r="C30" s="19">
        <f>3400.78949772302*13901</f>
        <v>47274374.807847701</v>
      </c>
      <c r="D30" s="19">
        <f>106953484846.44*13901</f>
        <v>1486760392850362.5</v>
      </c>
      <c r="E30" s="19">
        <f>152458687320.163*13901</f>
        <v>2119328212437585.8</v>
      </c>
      <c r="F30" s="22">
        <v>13.745361000000001</v>
      </c>
      <c r="G30" s="23">
        <f>376823402244.928*13901</f>
        <v>5238222114606744</v>
      </c>
    </row>
    <row r="31" spans="1:7" x14ac:dyDescent="0.25">
      <c r="A31" s="24">
        <f>6822133290.81919*14105</f>
        <v>96226190067004.672</v>
      </c>
      <c r="B31" s="19">
        <v>1.6504901854718952</v>
      </c>
      <c r="C31" s="19">
        <f>3227.57910235199*14105</f>
        <v>45525003.238674819</v>
      </c>
      <c r="D31" s="19">
        <f>91171559890.9852*14105</f>
        <v>1285974852262346.3</v>
      </c>
      <c r="E31" s="19">
        <f>119257490806.482*14105</f>
        <v>1682126907825428.5</v>
      </c>
      <c r="F31" s="22">
        <v>14.9526006</v>
      </c>
      <c r="G31" s="23">
        <f>361751145451.597*14105</f>
        <v>5102499906594775</v>
      </c>
    </row>
    <row r="32" spans="1:7" x14ac:dyDescent="0.25">
      <c r="A32" s="24">
        <f>11983363327.4772*14269</f>
        <v>170990611319772.16</v>
      </c>
      <c r="B32" s="19">
        <v>2.2824784602485977</v>
      </c>
      <c r="C32" s="19">
        <f>3484.38593882819*14269</f>
        <v>49718702.961139441</v>
      </c>
      <c r="D32" s="19">
        <f>101485514507.701*14269</f>
        <v>1448096806510385.8</v>
      </c>
      <c r="E32" s="19">
        <f>148699308216.869*14269</f>
        <v>2121790428946503.5</v>
      </c>
      <c r="F32" s="22">
        <v>13.5639974</v>
      </c>
      <c r="G32" s="23">
        <f>394087359848.11*14269</f>
        <v>5623232537672681</v>
      </c>
    </row>
    <row r="33" spans="1:7" x14ac:dyDescent="0.25">
      <c r="A33" s="24">
        <f>9492234668.1091*15731</f>
        <v>149322343564024.25</v>
      </c>
      <c r="B33" s="19">
        <v>5.4886482020200873</v>
      </c>
      <c r="C33" s="19">
        <f>3548.06930572116*15731</f>
        <v>55814678.248299569</v>
      </c>
      <c r="D33" s="19">
        <f>114785414693.615*15731</f>
        <v>1805689358545257.8</v>
      </c>
      <c r="E33" s="19">
        <f>178086451580.466*15731</f>
        <v>2801477969812310.5</v>
      </c>
      <c r="F33" s="22">
        <v>12.1049855</v>
      </c>
      <c r="G33" s="23">
        <f>404353369604.631*15731</f>
        <v>6360882857250450</v>
      </c>
    </row>
    <row r="34" spans="1:7" x14ac:dyDescent="0.25">
      <c r="A34" s="21">
        <f>69774553124.9432*13795</f>
        <v>962539960358591.5</v>
      </c>
      <c r="B34" s="19">
        <v>3.0719550096641797</v>
      </c>
      <c r="C34" s="20">
        <f>55645.6068614606*13795</f>
        <v>767631146.65384889</v>
      </c>
      <c r="D34" s="19">
        <f>549421999163.53*13795</f>
        <v>7579276478460897</v>
      </c>
      <c r="E34" s="19">
        <f>465345116651.21*13795</f>
        <v>6419435884203442</v>
      </c>
      <c r="F34" s="22">
        <v>14.094297299999999</v>
      </c>
      <c r="G34" s="23">
        <f>307998545269.398*13795</f>
        <v>4248839931991345.5</v>
      </c>
    </row>
    <row r="35" spans="1:7" x14ac:dyDescent="0.25">
      <c r="A35" s="21">
        <f>65363061549.6076*13436</f>
        <v>878218094980527.63</v>
      </c>
      <c r="B35" s="19">
        <v>0.48962702899872568</v>
      </c>
      <c r="C35" s="20">
        <f>56899.9181805173*13436</f>
        <v>764507300.67343044</v>
      </c>
      <c r="D35" s="19">
        <f>525530384076.969*13436</f>
        <v>7061026240458155</v>
      </c>
      <c r="E35" s="19">
        <f>441913262388.657*13436</f>
        <v>5937546593453995</v>
      </c>
      <c r="F35" s="22">
        <v>15.117630699999999</v>
      </c>
      <c r="G35" s="23">
        <f>319053943915.005*13436</f>
        <v>4286808790442007</v>
      </c>
    </row>
    <row r="36" spans="1:7" x14ac:dyDescent="0.25">
      <c r="A36" s="24">
        <f>102165867081.847*13548</f>
        <v>1384143167224863.3</v>
      </c>
      <c r="B36" s="19">
        <v>2.8940419140037363</v>
      </c>
      <c r="C36" s="19">
        <f xml:space="preserve"> 61162.0973932771 * 13548</f>
        <v>828624095.48411822</v>
      </c>
      <c r="D36" s="19">
        <f>589858681680.757*13548</f>
        <v>7991405419410895</v>
      </c>
      <c r="E36" s="19">
        <f>498376016076.181*13548</f>
        <v>6751998265800101</v>
      </c>
      <c r="F36" s="22">
        <v>13.130383</v>
      </c>
      <c r="G36" s="23">
        <f>343257164581.712*13548</f>
        <v>4650448065753034</v>
      </c>
    </row>
    <row r="37" spans="1:7" x14ac:dyDescent="0.25">
      <c r="A37" s="24">
        <f>82009180716.7877*14481</f>
        <v>1187574945959802.8</v>
      </c>
      <c r="B37" s="19">
        <v>3.6041004347622732</v>
      </c>
      <c r="C37" s="19">
        <f>66840.6373389791*14481</f>
        <v>967919269.30575633</v>
      </c>
      <c r="D37" s="19">
        <f>671737757276.241*14481</f>
        <v>9727434463117246</v>
      </c>
      <c r="E37" s="19">
        <f>559658729487.961*14481</f>
        <v>8104418061715164</v>
      </c>
      <c r="F37" s="22">
        <v>13.204439199999999</v>
      </c>
      <c r="G37" s="23">
        <f>376892697588.005*14481</f>
        <v>5457783153771900</v>
      </c>
    </row>
    <row r="38" spans="1:7" x14ac:dyDescent="0.25">
      <c r="A38" s="24">
        <f>105890494138.633*13901</f>
        <v>1471983759021137.3</v>
      </c>
      <c r="B38" s="19">
        <v>-0.20441464095767969</v>
      </c>
      <c r="C38" s="19">
        <f>66081.7199235165*13901</f>
        <v>918601988.65680289</v>
      </c>
      <c r="D38" s="19">
        <f>664477941704.7*13901</f>
        <v>9236907867637034</v>
      </c>
      <c r="E38" s="19">
        <f>553179836939.709*13901</f>
        <v>7689752913298895</v>
      </c>
      <c r="F38" s="22">
        <v>12.483299499999999</v>
      </c>
      <c r="G38" s="23">
        <f>376901649222.451*13901</f>
        <v>5239309825841291</v>
      </c>
    </row>
    <row r="39" spans="1:7" x14ac:dyDescent="0.25">
      <c r="A39" s="24">
        <f>80732866659.8214*14105</f>
        <v>1138737084236780.8</v>
      </c>
      <c r="B39" s="19">
        <v>-2.4385905692854664</v>
      </c>
      <c r="C39" s="19">
        <f>61466.803676358*14105</f>
        <v>866989265.85502958</v>
      </c>
      <c r="D39" s="19">
        <f>634513916369.872*14105</f>
        <v>8949818790397044</v>
      </c>
      <c r="E39" s="19">
        <f>524705923281.309*14105</f>
        <v>7400977047882864</v>
      </c>
      <c r="F39" s="22">
        <v>13.2995497</v>
      </c>
      <c r="G39" s="23">
        <f>349488382610.662*14105</f>
        <v>4929533636723387</v>
      </c>
    </row>
    <row r="40" spans="1:7" x14ac:dyDescent="0.25">
      <c r="A40" s="24">
        <f>137269287548.537*14269</f>
        <v>1958695464030074.5</v>
      </c>
      <c r="B40" s="19">
        <v>10.263766709231774</v>
      </c>
      <c r="C40" s="19">
        <f>79601.4129622433*14269</f>
        <v>1135832561.5582495</v>
      </c>
      <c r="D40" s="19">
        <f>794469896530.138*14269</f>
        <v>1.1336290953588538E+16</v>
      </c>
      <c r="E40" s="19">
        <f>637164817120.872*14269</f>
        <v>9091704775497722</v>
      </c>
      <c r="F40" s="22">
        <v>11.892240299999999</v>
      </c>
      <c r="G40" s="23">
        <f>434111559282.849*14269</f>
        <v>6194337839406972</v>
      </c>
    </row>
    <row r="41" spans="1:7" x14ac:dyDescent="0.25">
      <c r="A41" s="24">
        <f>148763733075.435*15731</f>
        <v>2340202285009668</v>
      </c>
      <c r="B41" s="19">
        <v>13.478138011365459</v>
      </c>
      <c r="C41" s="19">
        <f>88428.7024226232*15731</f>
        <v>1391071917.8102856</v>
      </c>
      <c r="D41" s="19">
        <f>925951516936.287*15731</f>
        <v>1.456614331292473E+16</v>
      </c>
      <c r="E41" s="19">
        <f>733875838037.757*15371</f>
        <v>1.1280405506478362E+16</v>
      </c>
      <c r="F41" s="22">
        <v>10.9714385</v>
      </c>
      <c r="G41" s="23">
        <f>498474540987.78*15731</f>
        <v>7841503004278768</v>
      </c>
    </row>
    <row r="42" spans="1:7" x14ac:dyDescent="0.25">
      <c r="A42" s="21">
        <f>42995500*13795</f>
        <v>593122922500</v>
      </c>
      <c r="B42" s="19">
        <v>7.202726567203527</v>
      </c>
      <c r="C42" s="20">
        <f>1319.59297370991*13548</f>
        <v>17877845.607821859</v>
      </c>
      <c r="D42" s="19">
        <f>48508500*13548</f>
        <v>657193158000</v>
      </c>
      <c r="E42" s="19">
        <f>906884200*13548</f>
        <v>12286467141600</v>
      </c>
      <c r="F42" s="22">
        <v>19.237851599999999</v>
      </c>
      <c r="G42" s="23">
        <f>1590282400*13795</f>
        <v>21937945708000</v>
      </c>
    </row>
    <row r="43" spans="1:7" x14ac:dyDescent="0.25">
      <c r="A43" s="21">
        <f>5478700*13436</f>
        <v>73611813200</v>
      </c>
      <c r="B43" s="19">
        <v>0.14136707325886277</v>
      </c>
      <c r="C43" s="20">
        <f>1335.54390089814*14481</f>
        <v>19340011.228905965</v>
      </c>
      <c r="D43" s="19">
        <f>51780000*14481</f>
        <v>749826180000</v>
      </c>
      <c r="E43" s="19">
        <f>937594400*14481</f>
        <v>13577304506400</v>
      </c>
      <c r="F43" s="22">
        <v>18.711221599999998</v>
      </c>
      <c r="G43" s="23">
        <f>1640464600*13436</f>
        <v>22041282365600</v>
      </c>
    </row>
    <row r="44" spans="1:7" x14ac:dyDescent="0.25">
      <c r="A44" s="24">
        <f>6715937.467148*13548</f>
        <v>90987520804.921112</v>
      </c>
      <c r="B44" s="19">
        <v>-0.21279945542860901</v>
      </c>
      <c r="C44" s="19">
        <f xml:space="preserve"> 1266.17767952941 * 13548</f>
        <v>17154175.202264447</v>
      </c>
      <c r="D44" s="19">
        <f>38179900*13548</f>
        <v>517261285200</v>
      </c>
      <c r="E44" s="19">
        <f>891109600*13548</f>
        <v>12072752860800</v>
      </c>
      <c r="F44" s="22">
        <v>18.813881899999998</v>
      </c>
      <c r="G44" s="23">
        <f>1584878400*13548</f>
        <v>21471932563200</v>
      </c>
    </row>
    <row r="45" spans="1:7" x14ac:dyDescent="0.25">
      <c r="A45" s="24">
        <f>47925664.570816*14481</f>
        <v>694011548649.98657</v>
      </c>
      <c r="B45" s="19">
        <v>-1.3626949934396748</v>
      </c>
      <c r="C45" s="19">
        <f>1219.46598597604*14481</f>
        <v>17659086.942919035</v>
      </c>
      <c r="D45" s="19">
        <f>45614300*14481</f>
        <v>660540678300</v>
      </c>
      <c r="E45" s="19">
        <f>962964800*14481</f>
        <v>13944693268800</v>
      </c>
      <c r="F45" s="22">
        <v>18.921020200000001</v>
      </c>
      <c r="G45" s="23">
        <f>1555988600*14481</f>
        <v>22532270916600</v>
      </c>
    </row>
    <row r="46" spans="1:7" x14ac:dyDescent="0.25">
      <c r="A46" s="24">
        <f>-238994863.059712*13901</f>
        <v>-3322267591393.0566</v>
      </c>
      <c r="B46" s="19">
        <v>5.1642834586998845</v>
      </c>
      <c r="C46" s="19">
        <f>1562.36458881813*13901</f>
        <v>21718430.149160825</v>
      </c>
      <c r="D46" s="19">
        <f>431191700*13901</f>
        <v>5993995821700</v>
      </c>
      <c r="E46" s="19">
        <f>1004078400*13901</f>
        <v>13957693838400</v>
      </c>
      <c r="F46" s="22">
        <v>18.767498799999998</v>
      </c>
      <c r="G46" s="23">
        <f>2032550400*13901</f>
        <v>28254483110400</v>
      </c>
    </row>
    <row r="47" spans="1:7" x14ac:dyDescent="0.25">
      <c r="A47" s="24">
        <f>-712696166.42672*14105</f>
        <v>-10052579427448.887</v>
      </c>
      <c r="B47" s="19">
        <v>-19.226653104900237</v>
      </c>
      <c r="C47" s="19">
        <f>1630.86935439232*14105</f>
        <v>23003412.243703675</v>
      </c>
      <c r="D47" s="19">
        <f>792950600*14105</f>
        <v>11184568213000</v>
      </c>
      <c r="E47" s="19">
        <f>1039875900*14105</f>
        <v>14667449569500</v>
      </c>
      <c r="F47" s="22">
        <v>18.114683100000001</v>
      </c>
      <c r="G47" s="23">
        <f>2162619200*14105</f>
        <v>30503743816000</v>
      </c>
    </row>
    <row r="48" spans="1:7" x14ac:dyDescent="0.25">
      <c r="A48" s="24">
        <f>-419035233.174685*14269</f>
        <v>-5979213742169.5801</v>
      </c>
      <c r="B48" s="19">
        <v>59.083849711071338</v>
      </c>
      <c r="C48" s="19">
        <f>2684.82704373402*14269</f>
        <v>38309797.087040737</v>
      </c>
      <c r="D48" s="19">
        <f>2302354000*14269</f>
        <v>32852289226000</v>
      </c>
      <c r="E48" s="19">
        <f>1317729900*14269</f>
        <v>18802687943100</v>
      </c>
      <c r="F48" s="22">
        <v>19.857319700000001</v>
      </c>
      <c r="G48" s="23">
        <f>3624889700*14269</f>
        <v>51723551129300</v>
      </c>
    </row>
    <row r="49" spans="1:7" x14ac:dyDescent="0.25">
      <c r="A49" s="25">
        <f>-395383447.111064*15731</f>
        <v>-6219777006504.1484</v>
      </c>
      <c r="B49" s="26">
        <v>11.458526307118461</v>
      </c>
      <c r="C49" s="26">
        <f>2343.24524664152*15731</f>
        <v>36861590.974917755</v>
      </c>
      <c r="D49" s="26">
        <f>1784365000*15731</f>
        <v>28069845815000</v>
      </c>
      <c r="E49" s="26">
        <f>1347926100*15731</f>
        <v>21204225479100</v>
      </c>
      <c r="F49" s="27">
        <v>19.4036227</v>
      </c>
      <c r="G49" s="28">
        <f>3208594000*15731</f>
        <v>50474392214000</v>
      </c>
    </row>
  </sheetData>
  <sheetProtection algorithmName="SHA-512" hashValue="Itjau3N3oihDbVInssAfl6+WnvaLC2nLVW37ozAXbg9pbPBMzvnGC+HJRa/UsQ9XkztCgidByYcNzQ/S+6Sihw==" saltValue="nyOgy33IoHLyyQ5WDcg/Og==" spinCount="100000" sheet="1" objects="1" scenarios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User;chika nanda</dc:creator>
  <cp:lastModifiedBy>User</cp:lastModifiedBy>
  <dcterms:created xsi:type="dcterms:W3CDTF">2025-05-21T19:34:09Z</dcterms:created>
  <dcterms:modified xsi:type="dcterms:W3CDTF">2025-06-18T11:11:26Z</dcterms:modified>
</cp:coreProperties>
</file>